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ccounting\2023\"/>
    </mc:Choice>
  </mc:AlternateContent>
  <xr:revisionPtr revIDLastSave="0" documentId="13_ncr:1_{AE3114C9-D08C-4081-9890-839757CF1C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come Statement" sheetId="4" r:id="rId1"/>
    <sheet name="BS" sheetId="1" r:id="rId2"/>
    <sheet name="CF" sheetId="2" r:id="rId3"/>
    <sheet name="BS wrksht" sheetId="3" r:id="rId4"/>
    <sheet name="P&amp;L Monthly Totals" sheetId="5" r:id="rId5"/>
    <sheet name="BR Calculations" sheetId="8" r:id="rId6"/>
    <sheet name="Sheet1" sheetId="7" r:id="rId7"/>
    <sheet name="2011 VS 2012 by Class" sheetId="6" state="hidden" r:id="rId8"/>
  </sheets>
  <externalReferences>
    <externalReference r:id="rId9"/>
  </externalReferences>
  <definedNames>
    <definedName name="_xlnm.Print_Area" localSheetId="1">BS!$E$4:$V$47</definedName>
    <definedName name="_xlnm.Print_Area" localSheetId="3">'BS wrksht'!$A$1:$P$32</definedName>
    <definedName name="_xlnm.Print_Area" localSheetId="2">CF!$A$4:$S$33</definedName>
    <definedName name="_xlnm.Print_Area" localSheetId="0">'Income Statement'!$A$1:$P$73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BS!$E$3:$M$48</definedName>
    <definedName name="Report" localSheetId="1">BS!$A$3:$M$48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91029"/>
</workbook>
</file>

<file path=xl/calcChain.xml><?xml version="1.0" encoding="utf-8"?>
<calcChain xmlns="http://schemas.openxmlformats.org/spreadsheetml/2006/main">
  <c r="B68" i="4" l="1"/>
  <c r="B3" i="8"/>
  <c r="B4" i="8" s="1"/>
  <c r="D7" i="8"/>
  <c r="C15" i="8"/>
  <c r="P15" i="8"/>
  <c r="C16" i="8"/>
  <c r="P16" i="8"/>
  <c r="C17" i="8"/>
  <c r="P17" i="8"/>
  <c r="C18" i="8"/>
  <c r="D18" i="8"/>
  <c r="D29" i="8" s="1"/>
  <c r="E18" i="8"/>
  <c r="E29" i="8" s="1"/>
  <c r="E32" i="8" s="1"/>
  <c r="G34" i="8" s="1"/>
  <c r="F18" i="8"/>
  <c r="G18" i="8"/>
  <c r="H18" i="8"/>
  <c r="H29" i="8" s="1"/>
  <c r="H32" i="8" s="1"/>
  <c r="J34" i="8" s="1"/>
  <c r="I18" i="8"/>
  <c r="I29" i="8" s="1"/>
  <c r="I32" i="8" s="1"/>
  <c r="K34" i="8" s="1"/>
  <c r="J18" i="8"/>
  <c r="K18" i="8"/>
  <c r="L18" i="8"/>
  <c r="L29" i="8" s="1"/>
  <c r="L32" i="8" s="1"/>
  <c r="N34" i="8" s="1"/>
  <c r="M18" i="8"/>
  <c r="M29" i="8" s="1"/>
  <c r="M32" i="8" s="1"/>
  <c r="O34" i="8" s="1"/>
  <c r="N18" i="8"/>
  <c r="O18" i="8"/>
  <c r="C19" i="8"/>
  <c r="J19" i="8"/>
  <c r="P19" i="8" s="1"/>
  <c r="C20" i="8"/>
  <c r="P20" i="8"/>
  <c r="C21" i="8"/>
  <c r="P21" i="8"/>
  <c r="C22" i="8"/>
  <c r="P22" i="8"/>
  <c r="C23" i="8"/>
  <c r="P23" i="8"/>
  <c r="C24" i="8"/>
  <c r="P24" i="8"/>
  <c r="C25" i="8"/>
  <c r="P25" i="8"/>
  <c r="C26" i="8"/>
  <c r="P26" i="8"/>
  <c r="C27" i="8"/>
  <c r="P27" i="8"/>
  <c r="C28" i="8"/>
  <c r="P28" i="8"/>
  <c r="C29" i="8"/>
  <c r="F29" i="8"/>
  <c r="F32" i="8" s="1"/>
  <c r="H34" i="8" s="1"/>
  <c r="G29" i="8"/>
  <c r="J29" i="8"/>
  <c r="J32" i="8" s="1"/>
  <c r="L34" i="8" s="1"/>
  <c r="K29" i="8"/>
  <c r="N29" i="8"/>
  <c r="N32" i="8" s="1"/>
  <c r="P34" i="8" s="1"/>
  <c r="O29" i="8"/>
  <c r="B30" i="8"/>
  <c r="C30" i="8"/>
  <c r="P30" i="8"/>
  <c r="P31" i="8"/>
  <c r="G32" i="8"/>
  <c r="K32" i="8"/>
  <c r="O32" i="8"/>
  <c r="I34" i="8"/>
  <c r="M34" i="8"/>
  <c r="Q34" i="8"/>
  <c r="D32" i="8" l="1"/>
  <c r="P29" i="8"/>
  <c r="P18" i="8"/>
  <c r="B8" i="8"/>
  <c r="D8" i="8" s="1"/>
  <c r="B5" i="8"/>
  <c r="B6" i="8" s="1"/>
  <c r="B7" i="8" s="1"/>
  <c r="P32" i="8" l="1"/>
  <c r="F34" i="8"/>
  <c r="K17" i="1" l="1"/>
  <c r="L17" i="1" s="1"/>
  <c r="M17" i="1" s="1"/>
  <c r="N17" i="1" s="1"/>
  <c r="J47" i="1"/>
  <c r="J43" i="1"/>
  <c r="J31" i="1"/>
  <c r="J20" i="1"/>
  <c r="J26" i="1" s="1"/>
  <c r="J34" i="1" s="1"/>
  <c r="J48" i="1" l="1"/>
  <c r="O17" i="1"/>
  <c r="P17" i="1" s="1"/>
  <c r="Q17" i="1" s="1"/>
  <c r="R17" i="1" s="1"/>
  <c r="S17" i="1" s="1"/>
  <c r="T17" i="1" s="1"/>
  <c r="U17" i="1" s="1"/>
  <c r="V17" i="1" s="1"/>
  <c r="P55" i="4" l="1"/>
  <c r="P45" i="4"/>
  <c r="P29" i="4"/>
  <c r="P70" i="4" l="1"/>
  <c r="I67" i="5"/>
  <c r="H67" i="5"/>
  <c r="G67" i="5"/>
  <c r="J67" i="5" l="1"/>
  <c r="F67" i="5"/>
  <c r="E67" i="5"/>
  <c r="D67" i="5" l="1"/>
  <c r="N22" i="5"/>
  <c r="N13" i="5"/>
  <c r="N4" i="5"/>
  <c r="N5" i="5"/>
  <c r="N6" i="5"/>
  <c r="N7" i="5"/>
  <c r="N8" i="5"/>
  <c r="N9" i="5"/>
  <c r="N11" i="5"/>
  <c r="N12" i="5"/>
  <c r="N14" i="5"/>
  <c r="N15" i="5"/>
  <c r="N16" i="5"/>
  <c r="N17" i="5"/>
  <c r="N18" i="5"/>
  <c r="N19" i="5"/>
  <c r="N20" i="5"/>
  <c r="N21" i="5"/>
  <c r="N23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8" i="5"/>
  <c r="N49" i="5"/>
  <c r="N50" i="5"/>
  <c r="N52" i="5"/>
  <c r="N53" i="5"/>
  <c r="N54" i="5"/>
  <c r="N55" i="5"/>
  <c r="N56" i="5"/>
  <c r="N57" i="5"/>
  <c r="N58" i="5"/>
  <c r="N59" i="5"/>
  <c r="N60" i="5"/>
  <c r="N61" i="5"/>
  <c r="N62" i="5"/>
  <c r="N63" i="5"/>
  <c r="N64" i="5"/>
  <c r="N65" i="5"/>
  <c r="N67" i="5"/>
  <c r="B67" i="5"/>
  <c r="N51" i="5" l="1"/>
  <c r="N66" i="5"/>
  <c r="C67" i="5" l="1"/>
  <c r="N24" i="5"/>
  <c r="N15" i="4"/>
  <c r="N53" i="4"/>
  <c r="J18" i="2" l="1"/>
  <c r="N51" i="4" l="1"/>
  <c r="N13" i="4"/>
  <c r="N43" i="4" l="1"/>
  <c r="N40" i="4"/>
  <c r="N9" i="4" l="1"/>
  <c r="N10" i="4"/>
  <c r="N11" i="4"/>
  <c r="N12" i="4"/>
  <c r="N14" i="4"/>
  <c r="N16" i="4"/>
  <c r="N60" i="4" l="1"/>
  <c r="G31" i="2" l="1"/>
  <c r="G15" i="2"/>
  <c r="G24" i="2"/>
  <c r="G20" i="2"/>
  <c r="G19" i="2"/>
  <c r="G18" i="2"/>
  <c r="G16" i="2"/>
  <c r="G14" i="2"/>
  <c r="G9" i="2"/>
  <c r="N23" i="4"/>
  <c r="B12" i="3"/>
  <c r="C12" i="3" s="1"/>
  <c r="D12" i="3" s="1"/>
  <c r="E12" i="3" s="1"/>
  <c r="F12" i="3" s="1"/>
  <c r="G12" i="3" s="1"/>
  <c r="H12" i="3" s="1"/>
  <c r="I12" i="3" s="1"/>
  <c r="J12" i="3" s="1"/>
  <c r="K12" i="3" s="1"/>
  <c r="L12" i="3" s="1"/>
  <c r="M12" i="3" s="1"/>
  <c r="N12" i="3" s="1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61" i="4"/>
  <c r="N44" i="4"/>
  <c r="N42" i="4"/>
  <c r="N34" i="4"/>
  <c r="J68" i="4"/>
  <c r="J55" i="4"/>
  <c r="J45" i="4"/>
  <c r="J27" i="4"/>
  <c r="J18" i="4"/>
  <c r="N3" i="5"/>
  <c r="N50" i="4"/>
  <c r="N49" i="4"/>
  <c r="N48" i="4"/>
  <c r="N54" i="4"/>
  <c r="N52" i="4"/>
  <c r="K31" i="1"/>
  <c r="M68" i="4"/>
  <c r="L68" i="4"/>
  <c r="K68" i="4"/>
  <c r="I68" i="4"/>
  <c r="H68" i="4"/>
  <c r="G68" i="4"/>
  <c r="F68" i="4"/>
  <c r="E68" i="4"/>
  <c r="D68" i="4"/>
  <c r="C68" i="4"/>
  <c r="M55" i="4"/>
  <c r="L55" i="4"/>
  <c r="K55" i="4"/>
  <c r="I55" i="4"/>
  <c r="H55" i="4"/>
  <c r="G55" i="4"/>
  <c r="F55" i="4"/>
  <c r="E55" i="4"/>
  <c r="D55" i="4"/>
  <c r="C55" i="4"/>
  <c r="B55" i="4"/>
  <c r="M45" i="4"/>
  <c r="L45" i="4"/>
  <c r="K45" i="4"/>
  <c r="I45" i="4"/>
  <c r="H45" i="4"/>
  <c r="G45" i="4"/>
  <c r="F45" i="4"/>
  <c r="E45" i="4"/>
  <c r="D45" i="4"/>
  <c r="C45" i="4"/>
  <c r="B45" i="4"/>
  <c r="C18" i="4"/>
  <c r="B18" i="4"/>
  <c r="M27" i="4"/>
  <c r="L27" i="4"/>
  <c r="K27" i="4"/>
  <c r="I27" i="4"/>
  <c r="H27" i="4"/>
  <c r="G27" i="4"/>
  <c r="C27" i="4"/>
  <c r="B27" i="4"/>
  <c r="F27" i="4"/>
  <c r="E27" i="4"/>
  <c r="D27" i="4"/>
  <c r="M18" i="4"/>
  <c r="L18" i="4"/>
  <c r="K18" i="4"/>
  <c r="I18" i="4"/>
  <c r="H18" i="4"/>
  <c r="G18" i="4"/>
  <c r="F18" i="4"/>
  <c r="E18" i="4"/>
  <c r="D18" i="4"/>
  <c r="C6" i="6"/>
  <c r="B6" i="6"/>
  <c r="F6" i="6"/>
  <c r="E6" i="6"/>
  <c r="I6" i="6"/>
  <c r="H6" i="6"/>
  <c r="N38" i="4"/>
  <c r="C23" i="3"/>
  <c r="D23" i="3" s="1"/>
  <c r="C17" i="3"/>
  <c r="K21" i="1" s="1"/>
  <c r="H18" i="2"/>
  <c r="I18" i="2"/>
  <c r="K18" i="2"/>
  <c r="L18" i="2"/>
  <c r="M18" i="2"/>
  <c r="N18" i="2"/>
  <c r="O18" i="2"/>
  <c r="P18" i="2"/>
  <c r="Q18" i="2"/>
  <c r="R18" i="2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67" i="4"/>
  <c r="N66" i="4"/>
  <c r="N65" i="4"/>
  <c r="N64" i="4"/>
  <c r="N63" i="4"/>
  <c r="N62" i="4"/>
  <c r="N59" i="4"/>
  <c r="N58" i="4"/>
  <c r="N41" i="4"/>
  <c r="N39" i="4"/>
  <c r="N37" i="4"/>
  <c r="N36" i="4"/>
  <c r="N35" i="4"/>
  <c r="N33" i="4"/>
  <c r="N22" i="4"/>
  <c r="N21" i="4"/>
  <c r="J19" i="2"/>
  <c r="L19" i="2"/>
  <c r="N19" i="2"/>
  <c r="P19" i="2"/>
  <c r="R19" i="2"/>
  <c r="L31" i="1"/>
  <c r="M31" i="1"/>
  <c r="N31" i="1"/>
  <c r="O31" i="1"/>
  <c r="P31" i="1"/>
  <c r="Q31" i="1"/>
  <c r="R31" i="1"/>
  <c r="S31" i="1"/>
  <c r="T31" i="1"/>
  <c r="U31" i="1"/>
  <c r="V31" i="1"/>
  <c r="Q19" i="2"/>
  <c r="O19" i="2"/>
  <c r="M19" i="2"/>
  <c r="K19" i="2"/>
  <c r="I19" i="2"/>
  <c r="H19" i="2"/>
  <c r="H14" i="2"/>
  <c r="M14" i="2"/>
  <c r="N14" i="2"/>
  <c r="P14" i="2"/>
  <c r="O14" i="2"/>
  <c r="Q14" i="2"/>
  <c r="R14" i="2"/>
  <c r="E29" i="4" l="1"/>
  <c r="C29" i="4"/>
  <c r="S24" i="2"/>
  <c r="D17" i="3"/>
  <c r="L21" i="1" s="1"/>
  <c r="S15" i="2"/>
  <c r="K22" i="1"/>
  <c r="G12" i="2" s="1"/>
  <c r="S9" i="2"/>
  <c r="K23" i="1"/>
  <c r="G13" i="2" s="1"/>
  <c r="E23" i="3"/>
  <c r="L23" i="1"/>
  <c r="S16" i="2"/>
  <c r="S20" i="2"/>
  <c r="I14" i="2"/>
  <c r="S19" i="2"/>
  <c r="J29" i="4"/>
  <c r="S18" i="2"/>
  <c r="N68" i="4"/>
  <c r="L70" i="4"/>
  <c r="N55" i="4"/>
  <c r="J70" i="4"/>
  <c r="H70" i="4"/>
  <c r="I70" i="4"/>
  <c r="N45" i="4"/>
  <c r="M70" i="4"/>
  <c r="N27" i="3" s="1"/>
  <c r="E70" i="4"/>
  <c r="K29" i="4"/>
  <c r="I29" i="4"/>
  <c r="N27" i="4"/>
  <c r="L29" i="4"/>
  <c r="H29" i="4"/>
  <c r="G29" i="4"/>
  <c r="D29" i="4"/>
  <c r="F29" i="4"/>
  <c r="B70" i="4"/>
  <c r="F70" i="4"/>
  <c r="K70" i="4"/>
  <c r="C70" i="4"/>
  <c r="G70" i="4"/>
  <c r="D70" i="4"/>
  <c r="M29" i="4"/>
  <c r="B29" i="4"/>
  <c r="N18" i="4"/>
  <c r="G27" i="3" l="1"/>
  <c r="H28" i="3"/>
  <c r="K27" i="3"/>
  <c r="L28" i="3"/>
  <c r="E27" i="3"/>
  <c r="F28" i="3"/>
  <c r="D28" i="3"/>
  <c r="C27" i="3"/>
  <c r="C29" i="3" s="1"/>
  <c r="K28" i="3"/>
  <c r="J27" i="3"/>
  <c r="M27" i="3"/>
  <c r="N28" i="3"/>
  <c r="L27" i="3"/>
  <c r="M28" i="3"/>
  <c r="H27" i="3"/>
  <c r="I28" i="3"/>
  <c r="D27" i="3"/>
  <c r="E28" i="3"/>
  <c r="F27" i="3"/>
  <c r="G28" i="3"/>
  <c r="I27" i="3"/>
  <c r="J28" i="3"/>
  <c r="L22" i="1"/>
  <c r="H12" i="2" s="1"/>
  <c r="E17" i="3"/>
  <c r="F17" i="3" s="1"/>
  <c r="J50" i="1"/>
  <c r="H13" i="2"/>
  <c r="F23" i="3"/>
  <c r="M23" i="1"/>
  <c r="J14" i="2"/>
  <c r="J73" i="4"/>
  <c r="O7" i="2" s="1"/>
  <c r="L73" i="4"/>
  <c r="Q7" i="2" s="1"/>
  <c r="I73" i="4"/>
  <c r="N7" i="2" s="1"/>
  <c r="H73" i="4"/>
  <c r="M7" i="2" s="1"/>
  <c r="F73" i="4"/>
  <c r="K7" i="2" s="1"/>
  <c r="E73" i="4"/>
  <c r="J7" i="2" s="1"/>
  <c r="M73" i="4"/>
  <c r="R7" i="2" s="1"/>
  <c r="K73" i="4"/>
  <c r="P7" i="2" s="1"/>
  <c r="B73" i="4"/>
  <c r="G7" i="2" s="1"/>
  <c r="G73" i="4"/>
  <c r="L7" i="2" s="1"/>
  <c r="N29" i="4"/>
  <c r="D73" i="4"/>
  <c r="I7" i="2" s="1"/>
  <c r="C73" i="4"/>
  <c r="H7" i="2" s="1"/>
  <c r="N70" i="4"/>
  <c r="M21" i="1" l="1"/>
  <c r="M22" i="1"/>
  <c r="K38" i="1"/>
  <c r="G17" i="2" s="1"/>
  <c r="D26" i="3"/>
  <c r="N23" i="1"/>
  <c r="J13" i="2" s="1"/>
  <c r="G23" i="3"/>
  <c r="I13" i="2"/>
  <c r="N21" i="1"/>
  <c r="G17" i="3"/>
  <c r="L14" i="2"/>
  <c r="K14" i="2"/>
  <c r="N22" i="1"/>
  <c r="N73" i="4"/>
  <c r="K46" i="1"/>
  <c r="K47" i="1" s="1"/>
  <c r="S7" i="2"/>
  <c r="J12" i="2" l="1"/>
  <c r="I12" i="2"/>
  <c r="D29" i="3"/>
  <c r="E26" i="3" s="1"/>
  <c r="E29" i="3" s="1"/>
  <c r="K43" i="1"/>
  <c r="K48" i="1" s="1"/>
  <c r="L46" i="1"/>
  <c r="L47" i="1" s="1"/>
  <c r="O23" i="1"/>
  <c r="K13" i="2" s="1"/>
  <c r="H23" i="3"/>
  <c r="O21" i="1"/>
  <c r="H17" i="3"/>
  <c r="S14" i="2"/>
  <c r="O22" i="1"/>
  <c r="G21" i="2"/>
  <c r="L38" i="1" l="1"/>
  <c r="L43" i="1" s="1"/>
  <c r="L48" i="1" s="1"/>
  <c r="M38" i="1"/>
  <c r="F26" i="3"/>
  <c r="F29" i="3" s="1"/>
  <c r="G26" i="3" s="1"/>
  <c r="G29" i="3" s="1"/>
  <c r="M46" i="1"/>
  <c r="N46" i="1" s="1"/>
  <c r="O46" i="1" s="1"/>
  <c r="P23" i="1"/>
  <c r="I23" i="3"/>
  <c r="I17" i="3"/>
  <c r="P21" i="1"/>
  <c r="P22" i="1"/>
  <c r="K12" i="2"/>
  <c r="G29" i="2"/>
  <c r="I17" i="2" l="1"/>
  <c r="I21" i="2" s="1"/>
  <c r="I29" i="2" s="1"/>
  <c r="H17" i="2"/>
  <c r="H21" i="2" s="1"/>
  <c r="H29" i="2" s="1"/>
  <c r="M43" i="1"/>
  <c r="N38" i="1"/>
  <c r="N43" i="1" s="1"/>
  <c r="N47" i="1"/>
  <c r="M47" i="1"/>
  <c r="Q23" i="1"/>
  <c r="M13" i="2" s="1"/>
  <c r="J23" i="3"/>
  <c r="L13" i="2"/>
  <c r="J17" i="3"/>
  <c r="Q21" i="1"/>
  <c r="Q22" i="1"/>
  <c r="L12" i="2"/>
  <c r="G33" i="2"/>
  <c r="K20" i="1" s="1"/>
  <c r="K19" i="1" s="1"/>
  <c r="O38" i="1"/>
  <c r="H26" i="3"/>
  <c r="H29" i="3" s="1"/>
  <c r="O47" i="1"/>
  <c r="P46" i="1"/>
  <c r="M48" i="1" l="1"/>
  <c r="J17" i="2"/>
  <c r="J21" i="2" s="1"/>
  <c r="K26" i="1"/>
  <c r="K34" i="1" s="1"/>
  <c r="K50" i="1" s="1"/>
  <c r="N48" i="1"/>
  <c r="R23" i="1"/>
  <c r="N13" i="2" s="1"/>
  <c r="K23" i="3"/>
  <c r="M12" i="2"/>
  <c r="K17" i="3"/>
  <c r="R21" i="1"/>
  <c r="R22" i="1"/>
  <c r="H31" i="2"/>
  <c r="H33" i="2" s="1"/>
  <c r="L20" i="1" s="1"/>
  <c r="L19" i="1" s="1"/>
  <c r="O43" i="1"/>
  <c r="O48" i="1" s="1"/>
  <c r="K17" i="2"/>
  <c r="K21" i="2" s="1"/>
  <c r="K29" i="2" s="1"/>
  <c r="P38" i="1"/>
  <c r="I26" i="3"/>
  <c r="I29" i="3" s="1"/>
  <c r="G35" i="2"/>
  <c r="Q46" i="1"/>
  <c r="P47" i="1"/>
  <c r="N12" i="2" l="1"/>
  <c r="L23" i="3"/>
  <c r="S23" i="1"/>
  <c r="O13" i="2" s="1"/>
  <c r="S21" i="1"/>
  <c r="L17" i="3"/>
  <c r="S22" i="1"/>
  <c r="L17" i="2"/>
  <c r="P43" i="1"/>
  <c r="P48" i="1" s="1"/>
  <c r="J29" i="2"/>
  <c r="Q38" i="1"/>
  <c r="J26" i="3"/>
  <c r="J29" i="3" s="1"/>
  <c r="I31" i="2"/>
  <c r="I33" i="2" s="1"/>
  <c r="M20" i="1" s="1"/>
  <c r="M19" i="1" s="1"/>
  <c r="L26" i="1"/>
  <c r="L34" i="1" s="1"/>
  <c r="L50" i="1" s="1"/>
  <c r="Q47" i="1"/>
  <c r="R46" i="1"/>
  <c r="H35" i="2"/>
  <c r="O12" i="2" l="1"/>
  <c r="M23" i="3"/>
  <c r="T23" i="1"/>
  <c r="T21" i="1"/>
  <c r="M17" i="3"/>
  <c r="T22" i="1"/>
  <c r="R38" i="1"/>
  <c r="K26" i="3"/>
  <c r="K29" i="3" s="1"/>
  <c r="M17" i="2"/>
  <c r="M21" i="2" s="1"/>
  <c r="M29" i="2" s="1"/>
  <c r="Q43" i="1"/>
  <c r="Q48" i="1" s="1"/>
  <c r="L21" i="2"/>
  <c r="S46" i="1"/>
  <c r="R47" i="1"/>
  <c r="I35" i="2" l="1"/>
  <c r="P12" i="2"/>
  <c r="N23" i="3"/>
  <c r="V23" i="1" s="1"/>
  <c r="U23" i="1"/>
  <c r="P13" i="2"/>
  <c r="N17" i="3"/>
  <c r="V21" i="1" s="1"/>
  <c r="U21" i="1"/>
  <c r="V22" i="1"/>
  <c r="U22" i="1"/>
  <c r="L26" i="3"/>
  <c r="L29" i="3" s="1"/>
  <c r="S38" i="1"/>
  <c r="L29" i="2"/>
  <c r="R43" i="1"/>
  <c r="R48" i="1" s="1"/>
  <c r="N17" i="2"/>
  <c r="T46" i="1"/>
  <c r="S47" i="1"/>
  <c r="M26" i="1"/>
  <c r="M34" i="1" s="1"/>
  <c r="M50" i="1" s="1"/>
  <c r="J31" i="2"/>
  <c r="J33" i="2" s="1"/>
  <c r="R13" i="2" l="1"/>
  <c r="Q12" i="2"/>
  <c r="Q13" i="2"/>
  <c r="R12" i="2"/>
  <c r="S43" i="1"/>
  <c r="S48" i="1" s="1"/>
  <c r="O17" i="2"/>
  <c r="O21" i="2" s="1"/>
  <c r="O29" i="2" s="1"/>
  <c r="N21" i="2"/>
  <c r="T38" i="1"/>
  <c r="M26" i="3"/>
  <c r="M29" i="3" s="1"/>
  <c r="T47" i="1"/>
  <c r="U46" i="1"/>
  <c r="N20" i="1"/>
  <c r="N19" i="1" s="1"/>
  <c r="S13" i="2" l="1"/>
  <c r="S12" i="2"/>
  <c r="N29" i="2"/>
  <c r="U38" i="1"/>
  <c r="N26" i="3"/>
  <c r="P17" i="2"/>
  <c r="P21" i="2" s="1"/>
  <c r="P29" i="2" s="1"/>
  <c r="T43" i="1"/>
  <c r="T48" i="1" s="1"/>
  <c r="K31" i="2"/>
  <c r="K33" i="2" s="1"/>
  <c r="N26" i="1"/>
  <c r="N34" i="1" s="1"/>
  <c r="N50" i="1" s="1"/>
  <c r="U47" i="1"/>
  <c r="V46" i="1"/>
  <c r="V47" i="1" s="1"/>
  <c r="J35" i="2"/>
  <c r="N29" i="3" l="1"/>
  <c r="V38" i="1" s="1"/>
  <c r="U43" i="1"/>
  <c r="U48" i="1" s="1"/>
  <c r="Q17" i="2"/>
  <c r="Q21" i="2" s="1"/>
  <c r="O20" i="1"/>
  <c r="O19" i="1" s="1"/>
  <c r="R17" i="2" l="1"/>
  <c r="S17" i="2" s="1"/>
  <c r="V43" i="1"/>
  <c r="V48" i="1" s="1"/>
  <c r="K35" i="2"/>
  <c r="Q29" i="2"/>
  <c r="L31" i="2"/>
  <c r="L33" i="2" s="1"/>
  <c r="O26" i="1"/>
  <c r="O34" i="1" s="1"/>
  <c r="O50" i="1" s="1"/>
  <c r="R21" i="2" l="1"/>
  <c r="R29" i="2" s="1"/>
  <c r="S29" i="2" s="1"/>
  <c r="P20" i="1"/>
  <c r="P19" i="1" s="1"/>
  <c r="S21" i="2" l="1"/>
  <c r="P26" i="1"/>
  <c r="P34" i="1" s="1"/>
  <c r="P50" i="1" s="1"/>
  <c r="M31" i="2"/>
  <c r="M33" i="2" s="1"/>
  <c r="L35" i="2"/>
  <c r="Q20" i="1" l="1"/>
  <c r="Q19" i="1" s="1"/>
  <c r="N31" i="2" l="1"/>
  <c r="N33" i="2" s="1"/>
  <c r="Q26" i="1"/>
  <c r="Q34" i="1" s="1"/>
  <c r="Q50" i="1" s="1"/>
  <c r="M35" i="2"/>
  <c r="R20" i="1" l="1"/>
  <c r="R19" i="1" s="1"/>
  <c r="R26" i="1" l="1"/>
  <c r="R34" i="1" s="1"/>
  <c r="R50" i="1" s="1"/>
  <c r="O31" i="2"/>
  <c r="O33" i="2" s="1"/>
  <c r="N35" i="2"/>
  <c r="S20" i="1" l="1"/>
  <c r="S19" i="1" s="1"/>
  <c r="P31" i="2" l="1"/>
  <c r="P33" i="2" s="1"/>
  <c r="S26" i="1"/>
  <c r="S34" i="1" s="1"/>
  <c r="S50" i="1" s="1"/>
  <c r="O35" i="2"/>
  <c r="T20" i="1" l="1"/>
  <c r="T19" i="1" s="1"/>
  <c r="T26" i="1" l="1"/>
  <c r="T34" i="1" s="1"/>
  <c r="T50" i="1" s="1"/>
  <c r="Q31" i="2"/>
  <c r="Q33" i="2" s="1"/>
  <c r="P35" i="2"/>
  <c r="U20" i="1" l="1"/>
  <c r="U19" i="1" s="1"/>
  <c r="R31" i="2" l="1"/>
  <c r="R33" i="2" s="1"/>
  <c r="U26" i="1"/>
  <c r="U34" i="1" s="1"/>
  <c r="U50" i="1" s="1"/>
  <c r="Q35" i="2"/>
  <c r="V20" i="1" l="1"/>
  <c r="V19" i="1" s="1"/>
  <c r="V26" i="1" l="1"/>
  <c r="V34" i="1" s="1"/>
  <c r="V50" i="1" s="1"/>
  <c r="R3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E10" authorId="0" shapeId="0" xr:uid="{2A485734-075B-47DA-B8BC-B1AABE134D4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ad</t>
        </r>
      </text>
    </comment>
    <comment ref="I10" authorId="0" shapeId="0" xr:uid="{8BB01C26-5916-4478-A948-AFB4E26B16E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$1100 calendar sales, $10,000 statewide raffle net</t>
        </r>
      </text>
    </comment>
    <comment ref="J10" authorId="0" shapeId="0" xr:uid="{9D52DACB-768F-470A-909F-9C4542C64CF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calendar sales</t>
        </r>
      </text>
    </comment>
    <comment ref="N10" authorId="0" shapeId="0" xr:uid="{34D4CD40-2913-4FE2-A73A-9748E59A215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$330 cal decoy auction/month, $70,000 calendar sales gross ($20,000 net)</t>
        </r>
      </text>
    </comment>
    <comment ref="I11" authorId="0" shapeId="0" xr:uid="{FEE9EB46-2119-4794-B35D-B01934BF81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$500 WWA EXPO booth income</t>
        </r>
      </text>
    </comment>
    <comment ref="N11" authorId="0" shapeId="0" xr:uid="{C279BB75-3E29-4B51-86A5-7A352500E66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$525/mo sustaining membership revenue, June membership drive</t>
        </r>
      </text>
    </comment>
    <comment ref="B12" authorId="0" shapeId="0" xr:uid="{A544AEE8-7323-4419-83A7-B9B1857B29D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sponsorship of PL Biologist</t>
        </r>
      </text>
    </comment>
    <comment ref="N13" authorId="1" shapeId="0" xr:uid="{81E4AF8D-C16B-4467-AFDA-3D4F7B228EA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70% HRP billable ($2730 per month) +$2166 outside contractor per month and $3439 public lands biologist billable</t>
        </r>
      </text>
    </comment>
    <comment ref="N14" authorId="0" shapeId="0" xr:uid="{FD3CE8DE-D825-4BD1-817F-98BDCEDA0E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$145,450 USFWS Cooperative agreement, 24,552 R3 LTH grant income</t>
        </r>
      </text>
    </comment>
    <comment ref="B15" authorId="0" shapeId="0" xr:uid="{AB5C5EA4-33CA-49BB-A6E9-BD6728A9A60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Sponsorships invoiced</t>
        </r>
      </text>
    </comment>
    <comment ref="C15" authorId="0" shapeId="0" xr:uid="{67632615-9848-4FC3-AD09-37EB887D273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Sponsorships invoiced</t>
        </r>
      </text>
    </comment>
    <comment ref="E15" authorId="0" shapeId="0" xr:uid="{D57E3B46-6569-4F41-9CD4-8D080F41D11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Booth sales</t>
        </r>
      </text>
    </comment>
    <comment ref="F15" authorId="0" shapeId="0" xr:uid="{BDB12A62-6FB6-4415-8816-4BAFC6E8BEC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Sponsorships, vendors, booths</t>
        </r>
      </text>
    </comment>
    <comment ref="H15" authorId="0" shapeId="0" xr:uid="{6AA1D4BE-20D4-4585-A58C-1E53B20278D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Booths, sponsorships</t>
        </r>
      </text>
    </comment>
    <comment ref="I15" authorId="0" shapeId="0" xr:uid="{2F9B3354-31F7-4F6E-B2E5-9D0A68AF989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pre-event booths, electric, etc, $22,000 day-of income</t>
        </r>
      </text>
    </comment>
    <comment ref="N22" authorId="1" shapeId="0" xr:uid="{00000000-0006-0000-00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calendar expense ($20,000 net)</t>
        </r>
      </text>
    </comment>
    <comment ref="D33" authorId="0" shapeId="0" xr:uid="{D4CA8EAF-79D2-449E-B1A6-015D097AE4C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$400 admin support</t>
        </r>
      </text>
    </comment>
    <comment ref="E33" authorId="0" shapeId="0" xr:uid="{D8228CEA-40BB-4E48-A7D3-1BBDDFAEB5C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$800 admin support</t>
        </r>
      </text>
    </comment>
    <comment ref="G33" authorId="0" shapeId="0" xr:uid="{BA87565E-1F51-4602-8A21-707097E10C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$800 admin support</t>
        </r>
      </text>
    </comment>
    <comment ref="L33" authorId="0" shapeId="0" xr:uid="{3907B022-7161-4578-8925-22BD8A5975E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admin support</t>
        </r>
      </text>
    </comment>
    <comment ref="M33" authorId="0" shapeId="0" xr:uid="{EFE52355-0F36-4C70-9BB1-8B159767B0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admin support</t>
        </r>
      </text>
    </comment>
    <comment ref="B37" authorId="0" shapeId="0" xr:uid="{1715DAE7-BF99-4899-9201-C5D639EEF7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$2900 '23 sponsor gift Browning knives, $500 chapter award bag embroidery/awards</t>
        </r>
      </text>
    </comment>
    <comment ref="D37" authorId="0" shapeId="0" xr:uid="{EA765EFC-10C3-4F9D-9B62-4C0D09AA588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44" authorId="0" shapeId="0" xr:uid="{EFD67F7F-E6FC-40E8-A0EC-FA35EA48EF6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$90 QB annual fee</t>
        </r>
      </text>
    </comment>
    <comment ref="N48" authorId="0" shapeId="0" xr:uid="{7DA2AEA2-279C-412A-A096-4B26DD683C9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$4326/mo public lands biologist</t>
        </r>
      </text>
    </comment>
    <comment ref="B50" authorId="0" shapeId="0" xr:uid="{FF567CA8-FBBA-4966-B9E7-B60F3991431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$800 lobbying fee</t>
        </r>
      </text>
    </comment>
    <comment ref="C50" authorId="0" shapeId="0" xr:uid="{233CCDCC-DDB6-4663-B61D-20D84F079B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Wood duck box shipping</t>
        </r>
      </text>
    </comment>
    <comment ref="D50" authorId="0" shapeId="0" xr:uid="{429510A8-2AF1-4816-847B-491C5377F96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Legislator of the Year awards, Waukesha '22 chapter grant</t>
        </r>
      </text>
    </comment>
    <comment ref="F50" authorId="0" shapeId="0" xr:uid="{28E15A9E-8C7A-4329-83B2-A08D0EAED1A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Carbonite, wood duck box shipping</t>
        </r>
      </text>
    </comment>
    <comment ref="K50" authorId="0" shapeId="0" xr:uid="{B5AB3EE7-61F1-4127-BFFA-741332F3A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Intuit payroll annual fee</t>
        </r>
      </text>
    </comment>
    <comment ref="M50" authorId="0" shapeId="0" xr:uid="{8B0691EF-D898-455E-A388-A79AC5BBA2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$180 WWF membership</t>
        </r>
      </text>
    </comment>
    <comment ref="N50" authorId="0" shapeId="0" xr:uid="{148200CB-6230-4462-B205-760896709C4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$598/mo pubilc lands biologist expenses</t>
        </r>
      </text>
    </comment>
    <comment ref="N51" authorId="1" shapeId="0" xr:uid="{9010FAC4-F2B9-49FC-BCB1-2DD37B75F39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$3900 HRP &amp; $2166 outside contractor estimate per month</t>
        </r>
      </text>
    </comment>
    <comment ref="N52" authorId="0" shapeId="0" xr:uid="{980FD8F9-331B-4AA8-BD1A-5A1EEB99451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$145,450 USFWS Cooperative agreement, $24,552 R3 LTH grant expense</t>
        </r>
      </text>
    </comment>
    <comment ref="B53" authorId="0" shapeId="0" xr:uid="{2C7AEEA3-DB90-4EF3-B272-2D3AD04D8BB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Social media</t>
        </r>
      </text>
    </comment>
    <comment ref="F53" authorId="0" shapeId="0" xr:uid="{025F5A32-938C-48F7-96FB-BD12AF8D864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sponsorship</t>
        </r>
      </text>
    </comment>
    <comment ref="H53" authorId="0" shapeId="0" xr:uid="{603A7C31-F604-46EF-B603-B915CFBF7D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Marketing, insurance, volunteer shirts</t>
        </r>
      </text>
    </comment>
    <comment ref="B54" authorId="0" shapeId="0" xr:uid="{9CD0B202-D898-4649-9FDC-90744D56ED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$1000 state meeting, $250 D&amp;G fee</t>
        </r>
      </text>
    </comment>
    <comment ref="C54" authorId="0" shapeId="0" xr:uid="{4A72311A-251E-41EE-82D5-6484F27AAB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$450 state meeting, constant contact</t>
        </r>
      </text>
    </comment>
    <comment ref="D54" authorId="0" shapeId="0" xr:uid="{90128161-9B20-4960-8850-5236BE9ACC4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$325 DCCE ad</t>
        </r>
      </text>
    </comment>
    <comment ref="E54" authorId="0" shapeId="0" xr:uid="{544130AB-340F-4A4A-8EAD-F658FBB587F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$800 wood duck box shipping</t>
        </r>
      </text>
    </comment>
    <comment ref="F54" authorId="0" shapeId="0" xr:uid="{27312348-0916-4BCC-9D85-45A04BDE12F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G54" authorId="0" shapeId="0" xr:uid="{89C16876-4EDE-47E2-9BF9-A2568F672C1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$600 planned giving postcard</t>
        </r>
      </text>
    </comment>
    <comment ref="I54" authorId="0" shapeId="0" xr:uid="{F3834E1F-ABAA-4980-A6EE-2F6F9FC40E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$1200 DCCE winners checks, IWCA</t>
        </r>
      </text>
    </comment>
    <comment ref="L54" authorId="0" shapeId="0" xr:uid="{FF6C079F-5052-4677-B790-F16023CE4E9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A67" authorId="1" shapeId="0" xr:uid="{00000000-0006-0000-0000-00000B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J13" authorId="0" shapeId="0" xr:uid="{B4D38190-B25A-43F9-ADCD-2A90B843511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J14" authorId="1" shapeId="0" xr:uid="{9006D53E-AF0E-45C7-9F20-2D45D4A2A7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N17" authorId="1" shapeId="0" xr:uid="{38E5ECE6-79FB-4BF0-ACC8-733D8F522FA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$5000 EXPO scholarship payment</t>
        </r>
      </text>
    </comment>
    <comment ref="M18" authorId="1" shapeId="0" xr:uid="{78A3CA68-0BB5-4631-AC3A-9D7A5FA7268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Waukesha AWA approved 2022</t>
        </r>
      </text>
    </comment>
    <comment ref="J21" authorId="1" shapeId="0" xr:uid="{9D51AD68-E0B6-45CE-89E4-994250C243E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P24" authorId="1" shapeId="0" xr:uid="{D3A33C14-E4FF-4BC1-8796-7818A22D52D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2024 calendar printing</t>
        </r>
      </text>
    </comment>
    <comment ref="J25" authorId="1" shapeId="0" xr:uid="{80D69C84-B3EB-4485-8AFB-21E2F699DFA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J33" authorId="2" shapeId="0" xr:uid="{E31C731A-D1C8-4D3F-A3E6-1D71378D4D32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($44,141.07)</t>
        </r>
      </text>
    </comment>
    <comment ref="J39" authorId="0" shapeId="0" xr:uid="{7A94C510-AB16-494F-8CFF-476A1BA6133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2022/23 Calendar prizes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  <author>Owner</author>
    <author>Kelcy Boettcher</author>
  </authors>
  <commentList>
    <comment ref="A4" authorId="0" shapeId="0" xr:uid="{00000000-0006-0000-03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>$50,000 grant, essentially complete</t>
        </r>
        <r>
          <rPr>
            <sz val="12"/>
            <color indexed="81"/>
            <rFont val="Tahoma"/>
            <family val="2"/>
          </rPr>
          <t xml:space="preserve">
</t>
        </r>
      </text>
    </comment>
    <comment ref="A5" authorId="1" shapeId="0" xr:uid="{5416D182-B35C-42B3-9A13-BFAB18A23BA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  <comment ref="A6" authorId="1" shapeId="0" xr:uid="{C2AED7CA-72D2-4820-AAF4-137DDE08D4B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$10,000 grant</t>
        </r>
      </text>
    </comment>
    <comment ref="A7" authorId="1" shapeId="0" xr:uid="{98F51C85-5614-4388-88E1-4EEF64472A3C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$5000 agreement</t>
        </r>
      </text>
    </comment>
    <comment ref="A8" authorId="2" shapeId="0" xr:uid="{00000000-0006-0000-03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$35,000 budgeted income</t>
        </r>
      </text>
    </comment>
    <comment ref="E11" authorId="1" shapeId="0" xr:uid="{9F7CDF8C-35D4-4844-B8FA-DD155202466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$6455 DS Wild Rice, $22,730 DS 2019, $3439 PL Biologist, $726 LTH</t>
        </r>
      </text>
    </comment>
    <comment ref="F11" authorId="1" shapeId="0" xr:uid="{6F298F82-F873-473B-8C1F-DCBE748F654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$3439 PL Biologist $1826 LTH</t>
        </r>
      </text>
    </comment>
    <comment ref="G11" authorId="1" shapeId="0" xr:uid="{41E44A49-2953-4963-B0C7-79B0E4F8370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$3439 PL Biologist, $1826 LTH</t>
        </r>
      </text>
    </comment>
    <comment ref="H11" authorId="1" shapeId="0" xr:uid="{D14EF15C-4EF3-4FD8-9278-DA4526B5AA4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$2156 LTH, $3439 PL Biologist</t>
        </r>
      </text>
    </comment>
    <comment ref="I11" authorId="1" shapeId="0" xr:uid="{43CD1A2C-B96F-46EF-9CD4-A6FE0BEC7AA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$1606 LTH, $3439 PL Biologist, $5000 Dane County mitigation
</t>
        </r>
      </text>
    </comment>
    <comment ref="J11" authorId="1" shapeId="0" xr:uid="{296E7031-B655-4ABC-AB66-3CE99CF2421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$1606 LTH, $3439 PL Biologist</t>
        </r>
      </text>
    </comment>
    <comment ref="K11" authorId="1" shapeId="0" xr:uid="{318532D7-1DB0-45BF-BD8C-6A82E8ADC5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$15,000 DS 2022, $4136 LTH, $3439 PL Biologist</t>
        </r>
      </text>
    </comment>
    <comment ref="L11" authorId="1" shapeId="0" xr:uid="{2186FD51-CC6D-4C89-9FD8-7580AEF37E2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$4191 LTH, $3439 PL Biologist</t>
        </r>
      </text>
    </comment>
    <comment ref="M11" authorId="1" shapeId="0" xr:uid="{3C713DBE-ABAA-4134-AE0E-B2C2DBE91B1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$1881 LTH, $3439 PL Biologist</t>
        </r>
      </text>
    </comment>
    <comment ref="N11" authorId="1" shapeId="0" xr:uid="{A6E156FF-6CF2-40CF-8A6F-5016C66FBA7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$3545 DS Wild Rice, $1991 LTH, $3439 PL Biologist</t>
        </r>
      </text>
    </comment>
    <comment ref="C28" authorId="2" shapeId="0" xr:uid="{00000000-0006-0000-03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prior month's expenses minus salaries</t>
        </r>
      </text>
    </comment>
    <comment ref="H28" authorId="1" shapeId="0" xr:uid="{73271BED-8192-4B8E-9148-359B4FD4B3D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Duck stamp payment to HRP</t>
        </r>
      </text>
    </comment>
    <comment ref="I28" authorId="2" shapeId="0" xr:uid="{00000000-0006-0000-03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Small NAWCA payment to HRP </t>
        </r>
      </text>
    </comment>
    <comment ref="J28" authorId="1" shapeId="0" xr:uid="{E3277146-24C8-4E5F-ACA4-5FEF772CFDC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HRP payment from Small NAWCA closeout anticipated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C4" authorId="0" shapeId="0" xr:uid="{0953500F-E8BD-432F-927F-4B9C43A96F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sales &amp; ads</t>
        </r>
      </text>
    </comment>
    <comment ref="D4" authorId="1" shapeId="0" xr:uid="{15E9D0B2-43BB-48B5-B4FB-23B99BEDC29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J4" authorId="0" shapeId="0" xr:uid="{7F8EC72A-283E-496C-A503-0398BF0CA5B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$8000 ATV/UTV net</t>
        </r>
      </text>
    </comment>
    <comment ref="I16" authorId="0" shapeId="0" xr:uid="{60202896-F692-4CB7-9774-6DEDA8FB21D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ATV $12,000 expense</t>
        </r>
      </text>
    </comment>
    <comment ref="C27" authorId="0" shapeId="0" xr:uid="{9908147A-3EDF-4333-BCAB-95C4EDEA2FF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$20,000 bonus (31%)</t>
        </r>
      </text>
    </comment>
    <comment ref="D27" authorId="0" shapeId="0" xr:uid="{AC2F7DD1-3000-458F-83E7-8F237CB4FB9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$400 admin support</t>
        </r>
      </text>
    </comment>
    <comment ref="E27" authorId="0" shapeId="0" xr:uid="{44093E01-6EBA-4A97-A575-BD2AF7E99A8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$800 admin support</t>
        </r>
      </text>
    </comment>
    <comment ref="G27" authorId="0" shapeId="0" xr:uid="{E66619ED-F9E5-4A1F-AC9C-00EC8D09887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$800 admin support</t>
        </r>
      </text>
    </comment>
    <comment ref="B31" authorId="0" shapeId="0" xr:uid="{52A197A7-2EEF-4212-ACCC-873797E15F5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$2900 '22 sponsor gift Browning knives</t>
        </r>
      </text>
    </comment>
    <comment ref="D31" authorId="0" shapeId="0" xr:uid="{1D490C72-3442-417B-8D99-4FEBF509D34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$2700 chapter reward shirts</t>
        </r>
      </text>
    </comment>
    <comment ref="C42" authorId="0" shapeId="0" xr:uid="{30A8A273-8D00-4BBE-93E7-3AC28F7AAE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$20,000 bonus (59%)</t>
        </r>
      </text>
    </comment>
    <comment ref="B44" authorId="0" shapeId="0" xr:uid="{E4BAFE08-53E6-4B8A-9496-97881573CE81}">
      <text>
        <r>
          <rPr>
            <sz val="9"/>
            <color indexed="81"/>
            <rFont val="Tahoma"/>
            <family val="2"/>
          </rPr>
          <t>$1500 state meeting expense, $750 lobbying fee</t>
        </r>
      </text>
    </comment>
    <comment ref="K44" authorId="0" shapeId="0" xr:uid="{7C7724BF-D641-4A15-8167-2C022D02CEA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Intuit payroll annual fee</t>
        </r>
      </text>
    </comment>
    <comment ref="F47" authorId="0" shapeId="0" xr:uid="{FB0D3E2A-AB8E-450D-B3CE-17AF95DB87B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sponsorship</t>
        </r>
      </text>
    </comment>
    <comment ref="B48" authorId="0" shapeId="0" xr:uid="{CA596777-F599-4A41-9ED0-A5EAA58AD55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</t>
        </r>
      </text>
    </comment>
    <comment ref="C48" authorId="0" shapeId="0" xr:uid="{7F2A9ADB-2778-484A-8FF9-89C2EC4F1FB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Wis Wetlands Assoc conference, D&amp;G contest fee, Constant Contact</t>
        </r>
      </text>
    </comment>
    <comment ref="D48" authorId="0" shapeId="0" xr:uid="{CEBB3928-B7D5-4024-BCA2-5C16D18AA16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E48" authorId="0" shapeId="0" xr:uid="{2B02681A-AC8B-47DC-AC79-974F043EF6A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$175 Website, $325 DCCE ad, $1500 EXPO sponsorship</t>
        </r>
      </text>
    </comment>
    <comment ref="F48" authorId="0" shapeId="0" xr:uid="{CB01B5C9-00E3-4D4D-A331-5D9F9884CC0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K48" authorId="0" shapeId="0" xr:uid="{CC561840-A72C-4309-9B5C-D454B1901E7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</t>
        </r>
      </text>
    </comment>
    <comment ref="C52" authorId="0" shapeId="0" xr:uid="{DEA514A0-AEE5-4858-8E09-9250DA2DD55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$20,000 bonus (10%)</t>
        </r>
      </text>
    </comment>
    <comment ref="I59" authorId="0" shapeId="0" xr:uid="{B5868B38-42A2-46F8-A1C1-0D3924E0D33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Compilation</t>
        </r>
      </text>
    </comment>
    <comment ref="K59" authorId="0" shapeId="0" xr:uid="{033C72D0-6CC9-46B1-A658-039BB174231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Tax filings only, no compilation
</t>
        </r>
      </text>
    </comment>
    <comment ref="A61" authorId="1" shapeId="0" xr:uid="{7AFB2DDF-9806-426A-82BE-9F20A610E93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</authors>
  <commentList>
    <comment ref="C3" authorId="0" shapeId="0" xr:uid="{00000000-0006-0000-0500-000001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 xr:uid="{00000000-0006-0000-05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 xr:uid="{00000000-0006-0000-05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 xr:uid="{00000000-0006-0000-0500-000004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 xr:uid="{00000000-0006-0000-0500-000005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<sst xmlns="http://schemas.openxmlformats.org/spreadsheetml/2006/main" count="316" uniqueCount="189">
  <si>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</si>
  <si>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</si>
  <si>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</si>
  <si>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</si>
  <si>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</si>
  <si>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</si>
  <si>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</si>
  <si>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</si>
  <si>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</si>
  <si>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</si>
  <si>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</si>
  <si>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</si>
  <si>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</si>
  <si>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</si>
  <si>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</si>
  <si>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</si>
  <si>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</si>
  <si>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</si>
  <si>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</si>
  <si>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</si>
  <si>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</si>
  <si>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</si>
  <si>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</si>
  <si>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</si>
  <si>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</si>
  <si>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</si>
  <si>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</si>
  <si>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</si>
  <si>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</si>
  <si>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</si>
  <si>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</si>
  <si>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</si>
  <si>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</si>
  <si>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</si>
  <si>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</si>
  <si>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</si>
  <si>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</si>
  <si>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</si>
  <si>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</si>
  <si>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</si>
  <si>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</si>
  <si>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</si>
  <si>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</si>
  <si>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</si>
  <si>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</si>
  <si>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</si>
  <si>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</si>
  <si>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</si>
  <si>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</si>
  <si>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</si>
  <si>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</si>
  <si>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</si>
  <si>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</si>
  <si>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</si>
  <si>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</si>
  <si>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</si>
  <si>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</si>
  <si>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</si>
  <si>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</si>
  <si>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</si>
  <si>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</si>
  <si>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</si>
  <si>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</si>
  <si>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</si>
  <si>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</si>
  <si>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</si>
  <si>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</si>
  <si>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</si>
  <si>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</si>
  <si>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</si>
  <si>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</si>
  <si>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Restoration revenue</t>
  </si>
  <si>
    <t>other grant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</si>
  <si>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</si>
  <si>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</si>
  <si>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</si>
  <si>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</si>
  <si>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</si>
  <si>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</si>
  <si>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</si>
  <si>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</si>
  <si>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</si>
  <si>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</si>
  <si>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</si>
  <si>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</si>
  <si>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</si>
  <si>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</si>
  <si>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</si>
  <si>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</si>
  <si>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</si>
  <si>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</si>
  <si>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</si>
  <si>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</si>
  <si>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</si>
  <si>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</si>
  <si>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HRP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</si>
  <si>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</si>
  <si>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</si>
  <si>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</si>
  <si>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</si>
  <si>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</si>
  <si>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</si>
  <si>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</si>
  <si>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</si>
  <si>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</si>
  <si>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</si>
  <si>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</si>
  <si>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Totals</t>
  </si>
  <si>
    <t>AR Trade</t>
  </si>
  <si>
    <t>Banquets - $1000 ea.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</si>
  <si>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</si>
  <si>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</si>
  <si>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</si>
  <si>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</si>
  <si>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</si>
  <si>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</si>
  <si>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</si>
  <si>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</si>
  <si>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</si>
  <si>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</si>
  <si>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</si>
  <si>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</si>
  <si>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USFWS</t>
  </si>
  <si>
    <t>Education</t>
  </si>
  <si>
    <t>Abrams restricted</t>
  </si>
  <si>
    <t>Minus Inventory used - $1000 ea.</t>
  </si>
  <si>
    <t>Other Grants</t>
  </si>
  <si>
    <t>Program Services:</t>
  </si>
  <si>
    <t>Plus Banquets - $1000 ea.</t>
  </si>
  <si>
    <t>Feb</t>
  </si>
  <si>
    <t>Sept</t>
  </si>
  <si>
    <t>Nov</t>
  </si>
  <si>
    <t>Dec</t>
  </si>
  <si>
    <t>Balance Sheet</t>
  </si>
  <si>
    <t xml:space="preserve">Cash Flow </t>
  </si>
  <si>
    <t>Oct</t>
  </si>
  <si>
    <t>AWA restricted</t>
  </si>
  <si>
    <t>Duck Stamp 2019-2021</t>
  </si>
  <si>
    <t>EXPO restricted</t>
  </si>
  <si>
    <t>EXPO</t>
  </si>
  <si>
    <t>EXPO revenue</t>
  </si>
  <si>
    <t>Chapter Loan restricted</t>
  </si>
  <si>
    <t>Raffle restricted</t>
  </si>
  <si>
    <t>2023 Budget - Draft 1</t>
  </si>
  <si>
    <t xml:space="preserve">2023 Budget </t>
  </si>
  <si>
    <t>2022 Actuals</t>
  </si>
  <si>
    <t xml:space="preserve"> </t>
  </si>
  <si>
    <t>Duck Stamp 2022</t>
  </si>
  <si>
    <t>R3 Learn to Hunt</t>
  </si>
  <si>
    <t>Public Lands Biologist</t>
  </si>
  <si>
    <t>Duck Stamp 2022 Wild Rice</t>
  </si>
  <si>
    <t xml:space="preserve">AR Grant Payments </t>
  </si>
  <si>
    <t>TOTAL LTH Income</t>
  </si>
  <si>
    <t>TOTAL LTH Expenses</t>
  </si>
  <si>
    <t>indirect cost</t>
  </si>
  <si>
    <t>ammo</t>
  </si>
  <si>
    <t>Shooting range</t>
  </si>
  <si>
    <t>Gear</t>
  </si>
  <si>
    <t>Videographer</t>
  </si>
  <si>
    <t>Printing</t>
  </si>
  <si>
    <t>Digital mktg</t>
  </si>
  <si>
    <t>Consulting Services</t>
  </si>
  <si>
    <t>Mentor/mentee travel</t>
  </si>
  <si>
    <t>Staff travel</t>
  </si>
  <si>
    <t>EXPO Entrance Fees</t>
  </si>
  <si>
    <t>Fringe</t>
  </si>
  <si>
    <t>Grant Admin</t>
  </si>
  <si>
    <t>Volunteer coordinator</t>
  </si>
  <si>
    <t>PM</t>
  </si>
  <si>
    <t>Sep</t>
  </si>
  <si>
    <t>Aug</t>
  </si>
  <si>
    <t>Jul</t>
  </si>
  <si>
    <t>Jun</t>
  </si>
  <si>
    <t>Apr</t>
  </si>
  <si>
    <t>Mar</t>
  </si>
  <si>
    <t>Jan</t>
  </si>
  <si>
    <t>ONE YEAR</t>
  </si>
  <si>
    <t>TOTAL</t>
  </si>
  <si>
    <t>LTH calculations</t>
  </si>
  <si>
    <t>monthly wage expense for WWA</t>
  </si>
  <si>
    <t>total</t>
  </si>
  <si>
    <t>monthly payment from DNR</t>
  </si>
  <si>
    <t>DNR piece</t>
  </si>
  <si>
    <t>Total expenses</t>
  </si>
  <si>
    <t>other expenses</t>
  </si>
  <si>
    <t>Expected salary PLE</t>
  </si>
  <si>
    <t>PLE Calculations</t>
  </si>
  <si>
    <t>12.31.22</t>
  </si>
  <si>
    <t>DNR Dane County Mitigation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</si>
</sst>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  <numFmt numFmtId="173" formatCode="_(&quot;$&quot;* #,##0_);_(&quot;$&quot;* \(#,##0\);_(&quot;$&quot;* &quot;-&quot;??_);_(@_)"/>
  </numFmts>
  <fonts count="2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67">
    <xf numFmtId="0" fontId="0" fillId="0" borderId="0" xfId="0"/>
    <xf numFmtId="165" fontId="1" fillId="0" borderId="0" xfId="0" applyNumberFormat="1" applyFont="1"/>
    <xf numFmtId="166" fontId="0" fillId="0" borderId="0" xfId="0" applyNumberForma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9" fillId="0" borderId="0" xfId="0" applyFont="1"/>
    <xf numFmtId="166" fontId="0" fillId="0" borderId="0" xfId="1" applyNumberFormat="1" applyFont="1"/>
    <xf numFmtId="3" fontId="1" fillId="0" borderId="8" xfId="1" applyNumberFormat="1" applyBorder="1"/>
    <xf numFmtId="3" fontId="1" fillId="0" borderId="10" xfId="1" applyNumberFormat="1" applyBorder="1"/>
    <xf numFmtId="0" fontId="1" fillId="0" borderId="0" xfId="0" applyFont="1" applyAlignment="1">
      <alignment horizontal="left"/>
    </xf>
    <xf numFmtId="0" fontId="1" fillId="0" borderId="19" xfId="0" applyFont="1" applyBorder="1"/>
    <xf numFmtId="0" fontId="1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1" fillId="0" borderId="15" xfId="0" applyFont="1" applyBorder="1" applyAlignment="1">
      <alignment horizontal="left"/>
    </xf>
    <xf numFmtId="0" fontId="1" fillId="0" borderId="15" xfId="0" applyFont="1" applyBorder="1"/>
    <xf numFmtId="0" fontId="0" fillId="0" borderId="15" xfId="0" applyBorder="1"/>
    <xf numFmtId="0" fontId="10" fillId="0" borderId="0" xfId="0" applyFont="1"/>
    <xf numFmtId="0" fontId="9" fillId="0" borderId="0" xfId="0" applyFont="1" applyAlignment="1">
      <alignment horizontal="center"/>
    </xf>
    <xf numFmtId="3" fontId="1" fillId="0" borderId="0" xfId="1" applyNumberFormat="1" applyFill="1"/>
    <xf numFmtId="3" fontId="18" fillId="0" borderId="0" xfId="1" applyNumberFormat="1" applyFont="1" applyFill="1"/>
    <xf numFmtId="3" fontId="2" fillId="0" borderId="2" xfId="1" applyNumberFormat="1" applyFont="1" applyFill="1" applyBorder="1"/>
    <xf numFmtId="3" fontId="19" fillId="0" borderId="0" xfId="1" applyNumberFormat="1" applyFont="1" applyFill="1"/>
    <xf numFmtId="171" fontId="18" fillId="0" borderId="0" xfId="1" applyNumberFormat="1" applyFont="1" applyFill="1"/>
    <xf numFmtId="167" fontId="14" fillId="0" borderId="0" xfId="2" applyNumberFormat="1" applyFont="1" applyFill="1"/>
    <xf numFmtId="3" fontId="1" fillId="0" borderId="15" xfId="1" applyNumberFormat="1" applyFill="1" applyBorder="1"/>
    <xf numFmtId="3" fontId="10" fillId="0" borderId="15" xfId="1" applyNumberFormat="1" applyFont="1" applyFill="1" applyBorder="1"/>
    <xf numFmtId="3" fontId="1" fillId="0" borderId="2" xfId="1" applyNumberFormat="1" applyFill="1" applyBorder="1"/>
    <xf numFmtId="3" fontId="2" fillId="0" borderId="0" xfId="1" applyNumberFormat="1" applyFont="1" applyFill="1"/>
    <xf numFmtId="171" fontId="1" fillId="0" borderId="0" xfId="1" applyNumberFormat="1" applyFill="1"/>
    <xf numFmtId="3" fontId="2" fillId="0" borderId="3" xfId="0" applyNumberFormat="1" applyFont="1" applyBorder="1"/>
    <xf numFmtId="3" fontId="1" fillId="0" borderId="0" xfId="1" applyNumberFormat="1" applyBorder="1"/>
    <xf numFmtId="166" fontId="1" fillId="0" borderId="0" xfId="1" applyNumberFormat="1" applyFill="1" applyAlignment="1">
      <alignment horizontal="right"/>
    </xf>
    <xf numFmtId="0" fontId="9" fillId="0" borderId="7" xfId="0" applyFont="1" applyBorder="1" applyAlignment="1">
      <alignment horizontal="right"/>
    </xf>
    <xf numFmtId="14" fontId="20" fillId="0" borderId="0" xfId="3" applyNumberFormat="1" applyFont="1" applyFill="1"/>
    <xf numFmtId="3" fontId="1" fillId="0" borderId="0" xfId="1" applyNumberFormat="1" applyFill="1" applyBorder="1"/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164" fontId="12" fillId="0" borderId="4" xfId="0" applyNumberFormat="1" applyFont="1" applyBorder="1" applyAlignment="1">
      <alignment horizontal="center"/>
    </xf>
    <xf numFmtId="0" fontId="9" fillId="0" borderId="20" xfId="0" applyFont="1" applyBorder="1" applyAlignment="1">
      <alignment horizontal="right"/>
    </xf>
    <xf numFmtId="0" fontId="0" fillId="0" borderId="7" xfId="0" applyBorder="1"/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170" fontId="9" fillId="0" borderId="7" xfId="0" applyNumberFormat="1" applyFon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7" xfId="0" applyBorder="1" applyAlignment="1">
      <alignment horizontal="right"/>
    </xf>
    <xf numFmtId="170" fontId="1" fillId="0" borderId="7" xfId="0" applyNumberFormat="1" applyFont="1" applyBorder="1" applyAlignment="1">
      <alignment horizontal="center"/>
    </xf>
    <xf numFmtId="3" fontId="1" fillId="0" borderId="8" xfId="1" applyNumberFormat="1" applyFill="1" applyBorder="1"/>
    <xf numFmtId="3" fontId="1" fillId="0" borderId="10" xfId="1" applyNumberFormat="1" applyFill="1" applyBorder="1"/>
    <xf numFmtId="170" fontId="0" fillId="0" borderId="7" xfId="0" applyNumberFormat="1" applyBorder="1" applyAlignment="1">
      <alignment horizontal="center"/>
    </xf>
    <xf numFmtId="3" fontId="18" fillId="0" borderId="8" xfId="1" applyNumberFormat="1" applyFont="1" applyFill="1" applyBorder="1"/>
    <xf numFmtId="3" fontId="18" fillId="0" borderId="10" xfId="1" applyNumberFormat="1" applyFont="1" applyFill="1" applyBorder="1"/>
    <xf numFmtId="170" fontId="2" fillId="0" borderId="11" xfId="0" applyNumberFormat="1" applyFont="1" applyBorder="1" applyAlignment="1">
      <alignment horizontal="center"/>
    </xf>
    <xf numFmtId="3" fontId="2" fillId="0" borderId="11" xfId="1" applyNumberFormat="1" applyFont="1" applyFill="1" applyBorder="1"/>
    <xf numFmtId="3" fontId="2" fillId="0" borderId="9" xfId="1" applyNumberFormat="1" applyFont="1" applyFill="1" applyBorder="1"/>
    <xf numFmtId="170" fontId="2" fillId="0" borderId="7" xfId="0" applyNumberFormat="1" applyFont="1" applyBorder="1" applyAlignment="1">
      <alignment horizontal="center"/>
    </xf>
    <xf numFmtId="3" fontId="19" fillId="0" borderId="8" xfId="1" applyNumberFormat="1" applyFont="1" applyFill="1" applyBorder="1"/>
    <xf numFmtId="3" fontId="19" fillId="0" borderId="10" xfId="1" applyNumberFormat="1" applyFont="1" applyFill="1" applyBorder="1"/>
    <xf numFmtId="171" fontId="18" fillId="0" borderId="8" xfId="1" applyNumberFormat="1" applyFont="1" applyFill="1" applyBorder="1"/>
    <xf numFmtId="171" fontId="18" fillId="0" borderId="10" xfId="1" applyNumberFormat="1" applyFont="1" applyFill="1" applyBorder="1"/>
    <xf numFmtId="3" fontId="18" fillId="0" borderId="12" xfId="1" applyNumberFormat="1" applyFont="1" applyFill="1" applyBorder="1"/>
    <xf numFmtId="170" fontId="2" fillId="0" borderId="13" xfId="0" applyNumberFormat="1" applyFont="1" applyBorder="1" applyAlignment="1">
      <alignment horizontal="center"/>
    </xf>
    <xf numFmtId="167" fontId="14" fillId="0" borderId="8" xfId="2" applyNumberFormat="1" applyFont="1" applyFill="1" applyBorder="1"/>
    <xf numFmtId="167" fontId="14" fillId="0" borderId="10" xfId="2" applyNumberFormat="1" applyFont="1" applyFill="1" applyBorder="1"/>
    <xf numFmtId="170" fontId="11" fillId="0" borderId="7" xfId="0" applyNumberFormat="1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170" fontId="1" fillId="0" borderId="8" xfId="0" applyNumberFormat="1" applyFont="1" applyBorder="1" applyAlignment="1">
      <alignment horizontal="center"/>
    </xf>
    <xf numFmtId="3" fontId="1" fillId="0" borderId="14" xfId="1" applyNumberFormat="1" applyFill="1" applyBorder="1"/>
    <xf numFmtId="3" fontId="1" fillId="0" borderId="12" xfId="1" applyNumberFormat="1" applyFill="1" applyBorder="1"/>
    <xf numFmtId="170" fontId="11" fillId="0" borderId="7" xfId="0" applyNumberFormat="1" applyFont="1" applyBorder="1" applyAlignment="1">
      <alignment horizontal="center"/>
    </xf>
    <xf numFmtId="3" fontId="2" fillId="0" borderId="10" xfId="1" applyNumberFormat="1" applyFont="1" applyFill="1" applyBorder="1"/>
    <xf numFmtId="167" fontId="1" fillId="0" borderId="10" xfId="2" applyNumberFormat="1" applyFill="1" applyBorder="1"/>
    <xf numFmtId="170" fontId="20" fillId="0" borderId="7" xfId="0" applyNumberFormat="1" applyFont="1" applyBorder="1" applyAlignment="1">
      <alignment horizontal="center"/>
    </xf>
    <xf numFmtId="170" fontId="20" fillId="0" borderId="7" xfId="0" applyNumberFormat="1" applyFont="1" applyBorder="1" applyAlignment="1">
      <alignment horizontal="left"/>
    </xf>
    <xf numFmtId="170" fontId="20" fillId="0" borderId="8" xfId="0" applyNumberFormat="1" applyFont="1" applyBorder="1" applyAlignment="1">
      <alignment horizontal="center"/>
    </xf>
    <xf numFmtId="3" fontId="1" fillId="0" borderId="11" xfId="1" applyNumberFormat="1" applyFill="1" applyBorder="1"/>
    <xf numFmtId="170" fontId="2" fillId="0" borderId="8" xfId="0" applyNumberFormat="1" applyFont="1" applyBorder="1" applyAlignment="1">
      <alignment horizontal="center"/>
    </xf>
    <xf numFmtId="3" fontId="2" fillId="0" borderId="8" xfId="1" applyNumberFormat="1" applyFont="1" applyFill="1" applyBorder="1"/>
    <xf numFmtId="171" fontId="1" fillId="0" borderId="14" xfId="1" applyNumberFormat="1" applyFill="1" applyBorder="1"/>
    <xf numFmtId="171" fontId="1" fillId="0" borderId="10" xfId="1" applyNumberFormat="1" applyFill="1" applyBorder="1"/>
    <xf numFmtId="170" fontId="2" fillId="0" borderId="4" xfId="0" applyNumberFormat="1" applyFont="1" applyBorder="1" applyAlignment="1">
      <alignment horizontal="center"/>
    </xf>
    <xf numFmtId="3" fontId="2" fillId="0" borderId="16" xfId="0" applyNumberFormat="1" applyFont="1" applyBorder="1"/>
    <xf numFmtId="3" fontId="2" fillId="0" borderId="17" xfId="0" applyNumberFormat="1" applyFont="1" applyBorder="1"/>
    <xf numFmtId="0" fontId="1" fillId="0" borderId="0" xfId="0" applyFont="1" applyAlignment="1">
      <alignment horizontal="right"/>
    </xf>
    <xf numFmtId="166" fontId="4" fillId="0" borderId="0" xfId="1" applyNumberFormat="1" applyFont="1" applyFill="1"/>
    <xf numFmtId="0" fontId="2" fillId="0" borderId="0" xfId="0" applyFont="1"/>
    <xf numFmtId="166" fontId="18" fillId="0" borderId="0" xfId="1" applyNumberFormat="1" applyFont="1" applyFill="1" applyAlignment="1">
      <alignment horizontal="right"/>
    </xf>
    <xf numFmtId="166" fontId="8" fillId="0" borderId="0" xfId="1" applyNumberFormat="1" applyFont="1" applyFill="1" applyAlignment="1">
      <alignment horizontal="right"/>
    </xf>
    <xf numFmtId="167" fontId="1" fillId="0" borderId="0" xfId="2" applyNumberFormat="1" applyFill="1"/>
    <xf numFmtId="166" fontId="2" fillId="0" borderId="2" xfId="1" applyNumberFormat="1" applyFont="1" applyFill="1" applyBorder="1"/>
    <xf numFmtId="166" fontId="2" fillId="0" borderId="0" xfId="1" applyNumberFormat="1" applyFont="1" applyFill="1"/>
    <xf numFmtId="166" fontId="19" fillId="0" borderId="0" xfId="1" applyNumberFormat="1" applyFont="1" applyFill="1"/>
    <xf numFmtId="166" fontId="2" fillId="0" borderId="2" xfId="1" applyNumberFormat="1" applyFont="1" applyFill="1" applyBorder="1" applyAlignment="1">
      <alignment horizontal="right"/>
    </xf>
    <xf numFmtId="166" fontId="19" fillId="0" borderId="0" xfId="1" applyNumberFormat="1" applyFont="1" applyFill="1" applyAlignment="1">
      <alignment horizontal="right"/>
    </xf>
    <xf numFmtId="166" fontId="2" fillId="0" borderId="3" xfId="1" applyNumberFormat="1" applyFont="1" applyFill="1" applyBorder="1"/>
    <xf numFmtId="166" fontId="18" fillId="0" borderId="0" xfId="1" applyNumberFormat="1" applyFont="1" applyFill="1"/>
    <xf numFmtId="3" fontId="2" fillId="0" borderId="0" xfId="0" applyNumberFormat="1" applyFont="1"/>
    <xf numFmtId="3" fontId="1" fillId="0" borderId="8" xfId="1" applyNumberFormat="1" applyFont="1" applyBorder="1"/>
    <xf numFmtId="3" fontId="1" fillId="0" borderId="0" xfId="1" applyNumberFormat="1" applyFont="1" applyBorder="1"/>
    <xf numFmtId="3" fontId="18" fillId="0" borderId="0" xfId="1" applyNumberFormat="1" applyFont="1" applyFill="1" applyBorder="1"/>
    <xf numFmtId="3" fontId="19" fillId="0" borderId="0" xfId="1" applyNumberFormat="1" applyFont="1" applyFill="1" applyBorder="1"/>
    <xf numFmtId="171" fontId="18" fillId="0" borderId="0" xfId="1" applyNumberFormat="1" applyFont="1" applyFill="1" applyBorder="1"/>
    <xf numFmtId="167" fontId="14" fillId="0" borderId="0" xfId="2" applyNumberFormat="1" applyFont="1" applyFill="1" applyBorder="1"/>
    <xf numFmtId="3" fontId="10" fillId="0" borderId="8" xfId="1" applyNumberFormat="1" applyFont="1" applyBorder="1"/>
    <xf numFmtId="3" fontId="10" fillId="0" borderId="0" xfId="1" applyNumberFormat="1" applyFont="1" applyBorder="1"/>
    <xf numFmtId="44" fontId="0" fillId="0" borderId="0" xfId="3" applyFont="1" applyFill="1"/>
    <xf numFmtId="44" fontId="1" fillId="0" borderId="0" xfId="1" applyNumberFormat="1" applyFill="1"/>
    <xf numFmtId="44" fontId="11" fillId="0" borderId="0" xfId="3" applyFont="1" applyFill="1"/>
    <xf numFmtId="44" fontId="1" fillId="0" borderId="0" xfId="3" applyFont="1" applyFill="1"/>
    <xf numFmtId="3" fontId="1" fillId="0" borderId="0" xfId="1" applyNumberFormat="1" applyFont="1" applyFill="1" applyBorder="1"/>
    <xf numFmtId="0" fontId="13" fillId="0" borderId="5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3" fontId="10" fillId="0" borderId="0" xfId="1" applyNumberFormat="1" applyFont="1" applyFill="1" applyBorder="1"/>
    <xf numFmtId="3" fontId="1" fillId="0" borderId="8" xfId="1" applyNumberFormat="1" applyFont="1" applyFill="1" applyBorder="1"/>
    <xf numFmtId="3" fontId="1" fillId="0" borderId="21" xfId="1" applyNumberFormat="1" applyFont="1" applyFill="1" applyBorder="1"/>
    <xf numFmtId="3" fontId="2" fillId="0" borderId="22" xfId="1" applyNumberFormat="1" applyFont="1" applyFill="1" applyBorder="1"/>
    <xf numFmtId="3" fontId="2" fillId="0" borderId="21" xfId="1" applyNumberFormat="1" applyFont="1" applyFill="1" applyBorder="1"/>
    <xf numFmtId="171" fontId="1" fillId="0" borderId="21" xfId="1" applyNumberFormat="1" applyFont="1" applyFill="1" applyBorder="1"/>
    <xf numFmtId="167" fontId="14" fillId="0" borderId="21" xfId="2" applyNumberFormat="1" applyFont="1" applyFill="1" applyBorder="1"/>
    <xf numFmtId="3" fontId="10" fillId="0" borderId="21" xfId="1" applyNumberFormat="1" applyFont="1" applyFill="1" applyBorder="1"/>
    <xf numFmtId="3" fontId="2" fillId="0" borderId="23" xfId="0" applyNumberFormat="1" applyFont="1" applyBorder="1"/>
    <xf numFmtId="44" fontId="1" fillId="0" borderId="0" xfId="1" applyNumberFormat="1" applyFill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44" fontId="1" fillId="0" borderId="0" xfId="0" applyNumberFormat="1" applyFont="1" applyAlignment="1">
      <alignment horizontal="left"/>
    </xf>
    <xf numFmtId="44" fontId="1" fillId="0" borderId="8" xfId="1" applyNumberFormat="1" applyFill="1" applyBorder="1"/>
    <xf numFmtId="44" fontId="0" fillId="0" borderId="0" xfId="0" applyNumberFormat="1"/>
    <xf numFmtId="0" fontId="20" fillId="0" borderId="0" xfId="0" applyFont="1"/>
    <xf numFmtId="44" fontId="2" fillId="0" borderId="0" xfId="3" applyFont="1" applyFill="1"/>
    <xf numFmtId="44" fontId="20" fillId="0" borderId="0" xfId="3" applyFont="1" applyFill="1"/>
    <xf numFmtId="0" fontId="18" fillId="0" borderId="0" xfId="0" applyFont="1"/>
    <xf numFmtId="44" fontId="18" fillId="0" borderId="0" xfId="3" applyFont="1" applyFill="1"/>
    <xf numFmtId="165" fontId="4" fillId="0" borderId="0" xfId="0" applyNumberFormat="1" applyFont="1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5" fillId="0" borderId="0" xfId="0" applyNumberFormat="1" applyFont="1"/>
    <xf numFmtId="14" fontId="6" fillId="0" borderId="0" xfId="0" applyNumberFormat="1" applyFont="1" applyAlignment="1">
      <alignment horizontal="center"/>
    </xf>
    <xf numFmtId="165" fontId="19" fillId="0" borderId="0" xfId="0" applyNumberFormat="1" applyFont="1"/>
    <xf numFmtId="165" fontId="1" fillId="0" borderId="0" xfId="0" applyNumberFormat="1" applyFont="1" applyAlignment="1">
      <alignment horizontal="left" indent="1"/>
    </xf>
    <xf numFmtId="166" fontId="1" fillId="0" borderId="0" xfId="0" applyNumberFormat="1" applyFont="1"/>
    <xf numFmtId="0" fontId="7" fillId="0" borderId="0" xfId="0" applyFont="1"/>
    <xf numFmtId="166" fontId="2" fillId="0" borderId="0" xfId="1" applyNumberFormat="1" applyFont="1" applyFill="1" applyAlignment="1">
      <alignment horizontal="right"/>
    </xf>
    <xf numFmtId="166" fontId="1" fillId="0" borderId="0" xfId="1" applyNumberFormat="1" applyFill="1"/>
    <xf numFmtId="173" fontId="0" fillId="2" borderId="0" xfId="0" applyNumberFormat="1" applyFill="1"/>
    <xf numFmtId="0" fontId="0" fillId="2" borderId="0" xfId="0" applyFill="1"/>
    <xf numFmtId="0" fontId="1" fillId="2" borderId="0" xfId="0" applyFont="1" applyFill="1"/>
    <xf numFmtId="173" fontId="0" fillId="0" borderId="0" xfId="0" applyNumberFormat="1"/>
    <xf numFmtId="173" fontId="0" fillId="2" borderId="18" xfId="0" applyNumberFormat="1" applyFill="1" applyBorder="1"/>
    <xf numFmtId="0" fontId="1" fillId="2" borderId="0" xfId="0" applyFont="1" applyFill="1" applyAlignment="1">
      <alignment horizontal="right"/>
    </xf>
    <xf numFmtId="0" fontId="0" fillId="0" borderId="18" xfId="0" applyBorder="1"/>
    <xf numFmtId="173" fontId="0" fillId="0" borderId="18" xfId="4" applyNumberFormat="1" applyFont="1" applyBorder="1"/>
    <xf numFmtId="173" fontId="0" fillId="0" borderId="0" xfId="4" applyNumberFormat="1" applyFont="1"/>
    <xf numFmtId="1" fontId="1" fillId="0" borderId="0" xfId="0" applyNumberFormat="1" applyFont="1"/>
    <xf numFmtId="173" fontId="0" fillId="2" borderId="0" xfId="4" applyNumberFormat="1" applyFont="1" applyFill="1"/>
    <xf numFmtId="3" fontId="1" fillId="0" borderId="9" xfId="1" applyNumberFormat="1" applyFont="1" applyFill="1" applyBorder="1"/>
    <xf numFmtId="0" fontId="0" fillId="0" borderId="0" xfId="0" applyAlignment="1">
      <alignment horizontal="center"/>
    </xf>
    <xf numFmtId="17" fontId="9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8" fontId="21" fillId="0" borderId="0" xfId="0" applyNumberFormat="1" applyFont="1" applyAlignment="1">
      <alignment horizontal="left"/>
    </xf>
    <xf numFmtId="168" fontId="21" fillId="0" borderId="0" xfId="0" quotePrefix="1" applyNumberFormat="1" applyFont="1" applyAlignment="1">
      <alignment horizontal="left"/>
    </xf>
  </cellXfs>
  <cellStyles count="5">
    <cellStyle name="Comma" xfId="1" builtinId="3"/>
    <cellStyle name="Currency" xfId="3" builtinId="4"/>
    <cellStyle name="Currency 2" xfId="4" xr:uid="{DDDBF24A-24B0-4227-BEB4-454383FDF546}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33"/>
  <sheetViews>
    <sheetView tabSelected="1" topLeftCell="A5" zoomScale="85" zoomScaleNormal="85" workbookViewId="0">
      <selection activeCell="P74" sqref="P74"/>
    </sheetView>
  </sheetViews>
  <sheetFormatPr defaultColWidth="9.109375" defaultRowHeight="13.2" x14ac:dyDescent="0.25"/>
  <cols>
    <col min="1" max="1" width="26.109375" customWidth="1"/>
    <col min="2" max="14" width="10.6640625" customWidth="1"/>
    <col min="15" max="15" width="4.33203125" customWidth="1"/>
    <col min="16" max="16" width="12.88671875" style="40" customWidth="1"/>
    <col min="17" max="17" width="14" customWidth="1"/>
  </cols>
  <sheetData>
    <row r="1" spans="1:17" x14ac:dyDescent="0.25">
      <c r="A1" s="162" t="s">
        <v>20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</row>
    <row r="2" spans="1:17" x14ac:dyDescent="0.25">
      <c r="A2" s="162" t="s">
        <v>65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</row>
    <row r="3" spans="1:17" x14ac:dyDescent="0.25">
      <c r="A3" s="163" t="s">
        <v>143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</row>
    <row r="4" spans="1:17" x14ac:dyDescent="0.25">
      <c r="B4" s="162"/>
      <c r="C4" s="162"/>
      <c r="D4" s="162"/>
      <c r="E4" s="162"/>
      <c r="F4" s="162"/>
      <c r="G4" s="162"/>
      <c r="H4" s="162"/>
      <c r="I4" s="162"/>
      <c r="J4" s="162"/>
    </row>
    <row r="5" spans="1:17" ht="13.8" thickBot="1" x14ac:dyDescent="0.3">
      <c r="B5" s="4"/>
      <c r="P5" s="41"/>
    </row>
    <row r="6" spans="1:17" ht="14.4" thickTop="1" x14ac:dyDescent="0.25">
      <c r="A6" s="42" t="s">
        <v>144</v>
      </c>
      <c r="B6" s="115"/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7"/>
      <c r="P6" s="43" t="s">
        <v>145</v>
      </c>
    </row>
    <row r="7" spans="1:17" x14ac:dyDescent="0.25">
      <c r="A7" s="44"/>
      <c r="B7" s="45" t="s">
        <v>52</v>
      </c>
      <c r="C7" s="22" t="s">
        <v>53</v>
      </c>
      <c r="D7" s="22" t="s">
        <v>54</v>
      </c>
      <c r="E7" s="22" t="s">
        <v>55</v>
      </c>
      <c r="F7" s="22" t="s">
        <v>56</v>
      </c>
      <c r="G7" s="22" t="s">
        <v>57</v>
      </c>
      <c r="H7" s="22" t="s">
        <v>58</v>
      </c>
      <c r="I7" s="22" t="s">
        <v>59</v>
      </c>
      <c r="J7" s="22" t="s">
        <v>60</v>
      </c>
      <c r="K7" s="22" t="s">
        <v>61</v>
      </c>
      <c r="L7" s="22" t="s">
        <v>62</v>
      </c>
      <c r="M7" s="22" t="s">
        <v>51</v>
      </c>
      <c r="N7" s="46" t="s">
        <v>63</v>
      </c>
      <c r="P7" s="37" t="s">
        <v>187</v>
      </c>
      <c r="Q7" s="22"/>
    </row>
    <row r="8" spans="1:17" x14ac:dyDescent="0.25">
      <c r="A8" s="47" t="s">
        <v>66</v>
      </c>
      <c r="B8" s="48"/>
      <c r="N8" s="49"/>
      <c r="P8" s="50"/>
    </row>
    <row r="9" spans="1:17" x14ac:dyDescent="0.25">
      <c r="A9" s="51" t="s">
        <v>67</v>
      </c>
      <c r="B9" s="52">
        <v>0</v>
      </c>
      <c r="C9" s="23">
        <v>1250</v>
      </c>
      <c r="D9" s="23">
        <v>3750</v>
      </c>
      <c r="E9" s="23">
        <v>130000</v>
      </c>
      <c r="F9" s="23">
        <v>70000</v>
      </c>
      <c r="G9" s="23">
        <v>52750</v>
      </c>
      <c r="H9" s="23">
        <v>13250</v>
      </c>
      <c r="I9" s="23">
        <v>54500</v>
      </c>
      <c r="J9" s="23">
        <v>10000</v>
      </c>
      <c r="K9" s="23">
        <v>39250</v>
      </c>
      <c r="L9" s="23">
        <v>3750</v>
      </c>
      <c r="M9" s="23">
        <v>110500</v>
      </c>
      <c r="N9" s="53">
        <f>SUM(B9:M9)</f>
        <v>489000</v>
      </c>
      <c r="P9" s="120">
        <v>465993</v>
      </c>
    </row>
    <row r="10" spans="1:17" x14ac:dyDescent="0.25">
      <c r="A10" s="51" t="s">
        <v>68</v>
      </c>
      <c r="B10" s="52">
        <v>330</v>
      </c>
      <c r="C10" s="39">
        <v>330</v>
      </c>
      <c r="D10" s="39">
        <v>330</v>
      </c>
      <c r="E10" s="39">
        <v>480</v>
      </c>
      <c r="F10" s="39">
        <v>330</v>
      </c>
      <c r="G10" s="39">
        <v>330</v>
      </c>
      <c r="H10" s="39">
        <v>330</v>
      </c>
      <c r="I10" s="39">
        <v>11430</v>
      </c>
      <c r="J10" s="39">
        <v>3330</v>
      </c>
      <c r="K10" s="39">
        <v>8130</v>
      </c>
      <c r="L10" s="39">
        <v>14830</v>
      </c>
      <c r="M10" s="39">
        <v>43930</v>
      </c>
      <c r="N10" s="53">
        <f t="shared" ref="N10:N16" si="0">SUM(B10:M10)</f>
        <v>84110</v>
      </c>
      <c r="P10" s="120">
        <v>112759</v>
      </c>
    </row>
    <row r="11" spans="1:17" x14ac:dyDescent="0.25">
      <c r="A11" s="51" t="s">
        <v>69</v>
      </c>
      <c r="B11" s="102">
        <v>960</v>
      </c>
      <c r="C11" s="103">
        <v>2000</v>
      </c>
      <c r="D11" s="103">
        <v>1000</v>
      </c>
      <c r="E11" s="103">
        <v>1000</v>
      </c>
      <c r="F11" s="103">
        <v>1200</v>
      </c>
      <c r="G11" s="103">
        <v>2000</v>
      </c>
      <c r="H11" s="103">
        <v>1000</v>
      </c>
      <c r="I11" s="103">
        <v>500</v>
      </c>
      <c r="J11" s="103">
        <v>1000</v>
      </c>
      <c r="K11" s="103">
        <v>700</v>
      </c>
      <c r="L11" s="114">
        <v>1500</v>
      </c>
      <c r="M11" s="103">
        <v>1000</v>
      </c>
      <c r="N11" s="53">
        <f>SUM(B11:M11)</f>
        <v>13860</v>
      </c>
      <c r="P11" s="120">
        <v>19485</v>
      </c>
    </row>
    <row r="12" spans="1:17" x14ac:dyDescent="0.25">
      <c r="A12" s="51" t="s">
        <v>70</v>
      </c>
      <c r="B12" s="52">
        <v>6200</v>
      </c>
      <c r="C12" s="39">
        <v>0</v>
      </c>
      <c r="D12" s="39"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53">
        <f>SUM(B12:M12)</f>
        <v>6200</v>
      </c>
      <c r="P12" s="120">
        <v>1000</v>
      </c>
    </row>
    <row r="13" spans="1:17" s="4" customFormat="1" x14ac:dyDescent="0.25">
      <c r="A13" s="51" t="s">
        <v>71</v>
      </c>
      <c r="B13" s="9">
        <v>8335</v>
      </c>
      <c r="C13" s="35">
        <v>8335</v>
      </c>
      <c r="D13" s="35">
        <v>8335</v>
      </c>
      <c r="E13" s="39">
        <v>8335</v>
      </c>
      <c r="F13" s="39">
        <v>8335</v>
      </c>
      <c r="G13" s="39">
        <v>8335</v>
      </c>
      <c r="H13" s="39">
        <v>8335</v>
      </c>
      <c r="I13" s="39">
        <v>8335</v>
      </c>
      <c r="J13" s="39">
        <v>8335</v>
      </c>
      <c r="K13" s="39">
        <v>8335</v>
      </c>
      <c r="L13" s="39">
        <v>8335</v>
      </c>
      <c r="M13" s="35">
        <v>8335</v>
      </c>
      <c r="N13" s="10">
        <f t="shared" ref="N13" si="1">SUM(B13:M13)</f>
        <v>100020</v>
      </c>
      <c r="P13" s="120">
        <v>46172</v>
      </c>
    </row>
    <row r="14" spans="1:17" x14ac:dyDescent="0.25">
      <c r="A14" s="51" t="s">
        <v>72</v>
      </c>
      <c r="B14" s="119">
        <v>15726</v>
      </c>
      <c r="C14" s="114">
        <v>15826</v>
      </c>
      <c r="D14" s="114">
        <v>20326</v>
      </c>
      <c r="E14" s="114">
        <v>11156</v>
      </c>
      <c r="F14" s="114">
        <v>15606</v>
      </c>
      <c r="G14" s="114">
        <v>9606</v>
      </c>
      <c r="H14" s="114">
        <v>14136</v>
      </c>
      <c r="I14" s="114">
        <v>29191</v>
      </c>
      <c r="J14" s="114">
        <v>9581</v>
      </c>
      <c r="K14" s="114">
        <v>9741</v>
      </c>
      <c r="L14" s="114">
        <v>7831</v>
      </c>
      <c r="M14" s="39">
        <v>11276</v>
      </c>
      <c r="N14" s="53">
        <f t="shared" si="0"/>
        <v>170002</v>
      </c>
      <c r="P14" s="120">
        <v>168013</v>
      </c>
    </row>
    <row r="15" spans="1:17" x14ac:dyDescent="0.25">
      <c r="A15" s="51" t="s">
        <v>140</v>
      </c>
      <c r="B15" s="102">
        <v>500</v>
      </c>
      <c r="C15" s="103">
        <v>6500</v>
      </c>
      <c r="D15" s="103">
        <v>7075</v>
      </c>
      <c r="E15" s="103">
        <v>9500</v>
      </c>
      <c r="F15" s="103">
        <v>3750</v>
      </c>
      <c r="G15" s="103">
        <v>8050</v>
      </c>
      <c r="H15" s="103">
        <v>2750</v>
      </c>
      <c r="I15" s="103">
        <v>23850</v>
      </c>
      <c r="J15" s="103">
        <v>0</v>
      </c>
      <c r="K15" s="103">
        <v>0</v>
      </c>
      <c r="L15" s="114">
        <v>0</v>
      </c>
      <c r="M15" s="39">
        <v>0</v>
      </c>
      <c r="N15" s="53">
        <f t="shared" si="0"/>
        <v>61975</v>
      </c>
      <c r="P15" s="120">
        <v>53111</v>
      </c>
    </row>
    <row r="16" spans="1:17" x14ac:dyDescent="0.25">
      <c r="A16" s="54" t="s">
        <v>73</v>
      </c>
      <c r="B16" s="52">
        <v>300</v>
      </c>
      <c r="C16" s="39">
        <v>500</v>
      </c>
      <c r="D16" s="39">
        <v>500</v>
      </c>
      <c r="E16" s="39">
        <v>500</v>
      </c>
      <c r="F16" s="39">
        <v>500</v>
      </c>
      <c r="G16" s="39">
        <v>1000</v>
      </c>
      <c r="H16" s="39">
        <v>500</v>
      </c>
      <c r="I16" s="39">
        <v>500</v>
      </c>
      <c r="J16" s="39">
        <v>500</v>
      </c>
      <c r="K16" s="39">
        <v>750</v>
      </c>
      <c r="L16" s="39">
        <v>1200</v>
      </c>
      <c r="M16" s="39">
        <v>1000</v>
      </c>
      <c r="N16" s="53">
        <f t="shared" si="0"/>
        <v>7750</v>
      </c>
      <c r="P16" s="120">
        <v>35044</v>
      </c>
    </row>
    <row r="17" spans="1:16" x14ac:dyDescent="0.25">
      <c r="A17" s="54"/>
      <c r="B17" s="55"/>
      <c r="C17" s="104"/>
      <c r="D17" s="104"/>
      <c r="E17" s="104"/>
      <c r="F17" s="104"/>
      <c r="G17" s="104"/>
      <c r="H17" s="104"/>
      <c r="I17" s="104"/>
      <c r="J17" s="104"/>
      <c r="K17" s="104"/>
      <c r="L17" s="104"/>
      <c r="M17" s="104"/>
      <c r="N17" s="56"/>
      <c r="P17" s="120"/>
    </row>
    <row r="18" spans="1:16" s="4" customFormat="1" x14ac:dyDescent="0.25">
      <c r="A18" s="57" t="s">
        <v>74</v>
      </c>
      <c r="B18" s="58">
        <f>SUM(B9:B17)</f>
        <v>32351</v>
      </c>
      <c r="C18" s="25">
        <f t="shared" ref="C18:M18" si="2">SUM(C9:C17)</f>
        <v>34741</v>
      </c>
      <c r="D18" s="25">
        <f t="shared" si="2"/>
        <v>41316</v>
      </c>
      <c r="E18" s="25">
        <f t="shared" si="2"/>
        <v>160971</v>
      </c>
      <c r="F18" s="25">
        <f t="shared" si="2"/>
        <v>99721</v>
      </c>
      <c r="G18" s="25">
        <f t="shared" si="2"/>
        <v>82071</v>
      </c>
      <c r="H18" s="25">
        <f t="shared" si="2"/>
        <v>40301</v>
      </c>
      <c r="I18" s="25">
        <f t="shared" si="2"/>
        <v>128306</v>
      </c>
      <c r="J18" s="25">
        <f t="shared" si="2"/>
        <v>32746</v>
      </c>
      <c r="K18" s="25">
        <f t="shared" si="2"/>
        <v>66906</v>
      </c>
      <c r="L18" s="25">
        <f t="shared" si="2"/>
        <v>37446</v>
      </c>
      <c r="M18" s="25">
        <f t="shared" si="2"/>
        <v>176041</v>
      </c>
      <c r="N18" s="59">
        <f>SUM(N9:N17)</f>
        <v>932917</v>
      </c>
      <c r="P18" s="121">
        <v>901577</v>
      </c>
    </row>
    <row r="19" spans="1:16" x14ac:dyDescent="0.25">
      <c r="A19" s="60"/>
      <c r="B19" s="61"/>
      <c r="C19" s="105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62"/>
      <c r="P19" s="122"/>
    </row>
    <row r="20" spans="1:16" x14ac:dyDescent="0.25">
      <c r="A20" s="47" t="s">
        <v>75</v>
      </c>
      <c r="B20" s="63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64"/>
      <c r="P20" s="123"/>
    </row>
    <row r="21" spans="1:16" x14ac:dyDescent="0.25">
      <c r="A21" s="51" t="s">
        <v>76</v>
      </c>
      <c r="B21" s="52">
        <v>0</v>
      </c>
      <c r="C21" s="39">
        <v>750</v>
      </c>
      <c r="D21" s="39">
        <v>2250</v>
      </c>
      <c r="E21" s="39">
        <v>78000</v>
      </c>
      <c r="F21" s="39">
        <v>42000</v>
      </c>
      <c r="G21" s="39">
        <v>31650</v>
      </c>
      <c r="H21" s="39">
        <v>7950</v>
      </c>
      <c r="I21" s="39">
        <v>32700</v>
      </c>
      <c r="J21" s="39">
        <v>6000</v>
      </c>
      <c r="K21" s="39">
        <v>23550</v>
      </c>
      <c r="L21" s="39">
        <v>2250</v>
      </c>
      <c r="M21" s="39">
        <v>66300</v>
      </c>
      <c r="N21" s="53">
        <f>SUM(B21:M21)</f>
        <v>293400</v>
      </c>
      <c r="P21" s="120">
        <v>235582</v>
      </c>
    </row>
    <row r="22" spans="1:16" x14ac:dyDescent="0.25">
      <c r="A22" s="51" t="s">
        <v>77</v>
      </c>
      <c r="B22" s="52">
        <v>100</v>
      </c>
      <c r="C22" s="39">
        <v>100</v>
      </c>
      <c r="D22" s="39">
        <v>100</v>
      </c>
      <c r="E22" s="39">
        <v>100</v>
      </c>
      <c r="F22" s="39">
        <v>100</v>
      </c>
      <c r="G22" s="39">
        <v>100</v>
      </c>
      <c r="H22" s="39">
        <v>100</v>
      </c>
      <c r="I22" s="39">
        <v>2100</v>
      </c>
      <c r="J22" s="39">
        <v>400</v>
      </c>
      <c r="K22" s="39">
        <v>6600</v>
      </c>
      <c r="L22" s="39">
        <v>4300</v>
      </c>
      <c r="M22" s="39">
        <v>37100</v>
      </c>
      <c r="N22" s="53">
        <f>SUM(B22:M22)</f>
        <v>51200</v>
      </c>
      <c r="P22" s="120">
        <v>67240</v>
      </c>
    </row>
    <row r="23" spans="1:16" s="4" customFormat="1" x14ac:dyDescent="0.25">
      <c r="A23" s="51" t="s">
        <v>78</v>
      </c>
      <c r="B23" s="52">
        <v>0</v>
      </c>
      <c r="C23" s="39">
        <v>0</v>
      </c>
      <c r="D23" s="39">
        <v>0</v>
      </c>
      <c r="E23" s="39">
        <v>0</v>
      </c>
      <c r="F23" s="39">
        <v>0</v>
      </c>
      <c r="G23" s="39">
        <v>0</v>
      </c>
      <c r="H23" s="39">
        <v>0</v>
      </c>
      <c r="I23" s="39">
        <v>0</v>
      </c>
      <c r="J23" s="39">
        <v>0</v>
      </c>
      <c r="K23" s="39">
        <v>0</v>
      </c>
      <c r="L23" s="39">
        <v>0</v>
      </c>
      <c r="M23" s="39">
        <v>0</v>
      </c>
      <c r="N23" s="53">
        <f>SUM(B23:M23)</f>
        <v>0</v>
      </c>
      <c r="P23" s="120">
        <v>0</v>
      </c>
    </row>
    <row r="24" spans="1:16" x14ac:dyDescent="0.25">
      <c r="A24" s="51"/>
      <c r="B24" s="55"/>
      <c r="C24" s="104"/>
      <c r="D24" s="104"/>
      <c r="E24" s="104"/>
      <c r="F24" s="104"/>
      <c r="G24" s="104"/>
      <c r="H24" s="104"/>
      <c r="I24" s="114"/>
      <c r="J24" s="114"/>
      <c r="K24" s="114"/>
      <c r="L24" s="114"/>
      <c r="M24" s="114"/>
      <c r="N24" s="56"/>
      <c r="P24" s="120"/>
    </row>
    <row r="25" spans="1:16" x14ac:dyDescent="0.25">
      <c r="A25" s="44"/>
      <c r="B25" s="55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56"/>
      <c r="P25" s="120"/>
    </row>
    <row r="26" spans="1:16" x14ac:dyDescent="0.25">
      <c r="A26" s="44"/>
      <c r="B26" s="55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65"/>
      <c r="P26" s="120"/>
    </row>
    <row r="27" spans="1:16" x14ac:dyDescent="0.25">
      <c r="A27" s="66" t="s">
        <v>79</v>
      </c>
      <c r="B27" s="58">
        <f>SUM(B21:B26)</f>
        <v>100</v>
      </c>
      <c r="C27" s="25">
        <f t="shared" ref="C27:M27" si="3">SUM(C21:C26)</f>
        <v>850</v>
      </c>
      <c r="D27" s="25">
        <f t="shared" si="3"/>
        <v>2350</v>
      </c>
      <c r="E27" s="25">
        <f t="shared" si="3"/>
        <v>78100</v>
      </c>
      <c r="F27" s="25">
        <f t="shared" si="3"/>
        <v>42100</v>
      </c>
      <c r="G27" s="25">
        <f t="shared" si="3"/>
        <v>31750</v>
      </c>
      <c r="H27" s="25">
        <f t="shared" si="3"/>
        <v>8050</v>
      </c>
      <c r="I27" s="25">
        <f t="shared" si="3"/>
        <v>34800</v>
      </c>
      <c r="J27" s="25">
        <f t="shared" si="3"/>
        <v>6400</v>
      </c>
      <c r="K27" s="25">
        <f t="shared" si="3"/>
        <v>30150</v>
      </c>
      <c r="L27" s="25">
        <f t="shared" si="3"/>
        <v>6550</v>
      </c>
      <c r="M27" s="25">
        <f t="shared" si="3"/>
        <v>103400</v>
      </c>
      <c r="N27" s="59">
        <f>SUM(N21:N26)</f>
        <v>344600</v>
      </c>
      <c r="P27" s="121">
        <v>302950</v>
      </c>
    </row>
    <row r="28" spans="1:16" x14ac:dyDescent="0.25">
      <c r="A28" s="60"/>
      <c r="B28" s="67"/>
      <c r="C28" s="10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68"/>
      <c r="P28" s="124"/>
    </row>
    <row r="29" spans="1:16" s="4" customFormat="1" x14ac:dyDescent="0.25">
      <c r="A29" s="66" t="s">
        <v>80</v>
      </c>
      <c r="B29" s="58">
        <f>B18-B27</f>
        <v>32251</v>
      </c>
      <c r="C29" s="25">
        <f t="shared" ref="C29:M29" si="4">C18-C27</f>
        <v>33891</v>
      </c>
      <c r="D29" s="25">
        <f t="shared" si="4"/>
        <v>38966</v>
      </c>
      <c r="E29" s="25">
        <f t="shared" si="4"/>
        <v>82871</v>
      </c>
      <c r="F29" s="25">
        <f t="shared" si="4"/>
        <v>57621</v>
      </c>
      <c r="G29" s="25">
        <f t="shared" si="4"/>
        <v>50321</v>
      </c>
      <c r="H29" s="25">
        <f t="shared" si="4"/>
        <v>32251</v>
      </c>
      <c r="I29" s="25">
        <f t="shared" si="4"/>
        <v>93506</v>
      </c>
      <c r="J29" s="25">
        <f t="shared" si="4"/>
        <v>26346</v>
      </c>
      <c r="K29" s="25">
        <f t="shared" si="4"/>
        <v>36756</v>
      </c>
      <c r="L29" s="25">
        <f t="shared" si="4"/>
        <v>30896</v>
      </c>
      <c r="M29" s="25">
        <f t="shared" si="4"/>
        <v>72641</v>
      </c>
      <c r="N29" s="59">
        <f>N18-N27</f>
        <v>588317</v>
      </c>
      <c r="P29" s="121">
        <f>P18-P27</f>
        <v>598627</v>
      </c>
    </row>
    <row r="30" spans="1:16" s="4" customFormat="1" x14ac:dyDescent="0.25">
      <c r="A30" s="51"/>
      <c r="B30" s="67"/>
      <c r="C30" s="107" t="s">
        <v>146</v>
      </c>
      <c r="D30" s="107"/>
      <c r="E30" s="107"/>
      <c r="F30" s="107"/>
      <c r="G30" s="107"/>
      <c r="H30" s="107"/>
      <c r="I30" s="107"/>
      <c r="J30" s="107"/>
      <c r="K30" s="107"/>
      <c r="L30" s="107"/>
      <c r="M30" s="107"/>
      <c r="N30" s="68"/>
      <c r="P30" s="124"/>
    </row>
    <row r="31" spans="1:16" x14ac:dyDescent="0.25">
      <c r="A31" s="47" t="s">
        <v>81</v>
      </c>
      <c r="B31" s="63"/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64"/>
      <c r="P31" s="123"/>
    </row>
    <row r="32" spans="1:16" ht="14.4" x14ac:dyDescent="0.3">
      <c r="A32" s="69" t="s">
        <v>82</v>
      </c>
      <c r="B32" s="55"/>
      <c r="C32" s="104"/>
      <c r="D32" s="104"/>
      <c r="E32" s="104"/>
      <c r="F32" s="104"/>
      <c r="G32" s="104"/>
      <c r="H32" s="104"/>
      <c r="I32" s="104"/>
      <c r="J32" s="104"/>
      <c r="K32" s="104"/>
      <c r="L32" s="104"/>
      <c r="M32" s="104"/>
      <c r="N32" s="56"/>
      <c r="P32" s="120"/>
    </row>
    <row r="33" spans="1:16" x14ac:dyDescent="0.25">
      <c r="A33" s="51" t="s">
        <v>83</v>
      </c>
      <c r="B33" s="52">
        <v>3605</v>
      </c>
      <c r="C33" s="39">
        <v>3605</v>
      </c>
      <c r="D33" s="39">
        <v>4005</v>
      </c>
      <c r="E33" s="39">
        <v>4405</v>
      </c>
      <c r="F33" s="39">
        <v>3605</v>
      </c>
      <c r="G33" s="39">
        <v>4405</v>
      </c>
      <c r="H33" s="39">
        <v>3605</v>
      </c>
      <c r="I33" s="39">
        <v>3605</v>
      </c>
      <c r="J33" s="39">
        <v>3605</v>
      </c>
      <c r="K33" s="39">
        <v>3605</v>
      </c>
      <c r="L33" s="39">
        <v>4605</v>
      </c>
      <c r="M33" s="39">
        <v>4605</v>
      </c>
      <c r="N33" s="53">
        <f>SUM(B33:M33)</f>
        <v>47260</v>
      </c>
      <c r="P33" s="120">
        <v>51955</v>
      </c>
    </row>
    <row r="34" spans="1:16" x14ac:dyDescent="0.25">
      <c r="A34" s="70" t="s">
        <v>84</v>
      </c>
      <c r="B34" s="52">
        <v>0</v>
      </c>
      <c r="C34" s="39">
        <v>0</v>
      </c>
      <c r="D34" s="39">
        <v>0</v>
      </c>
      <c r="E34" s="39">
        <v>0</v>
      </c>
      <c r="F34" s="39">
        <v>0</v>
      </c>
      <c r="G34" s="39">
        <v>0</v>
      </c>
      <c r="H34" s="39">
        <v>0</v>
      </c>
      <c r="I34" s="39">
        <v>0</v>
      </c>
      <c r="J34" s="39">
        <v>0</v>
      </c>
      <c r="K34" s="39">
        <v>0</v>
      </c>
      <c r="L34" s="39">
        <v>0</v>
      </c>
      <c r="M34" s="39">
        <v>0</v>
      </c>
      <c r="N34" s="53">
        <f t="shared" ref="N34:N42" si="5">SUM(B34:M34)</f>
        <v>0</v>
      </c>
      <c r="P34" s="120">
        <v>0</v>
      </c>
    </row>
    <row r="35" spans="1:16" x14ac:dyDescent="0.25">
      <c r="A35" s="51" t="s">
        <v>85</v>
      </c>
      <c r="B35" s="102">
        <v>0</v>
      </c>
      <c r="C35" s="103">
        <v>20</v>
      </c>
      <c r="D35" s="103">
        <v>475</v>
      </c>
      <c r="E35" s="103">
        <v>0</v>
      </c>
      <c r="F35" s="103">
        <v>270</v>
      </c>
      <c r="G35" s="103">
        <v>375</v>
      </c>
      <c r="H35" s="103">
        <v>250</v>
      </c>
      <c r="I35" s="103">
        <v>350</v>
      </c>
      <c r="J35" s="103">
        <v>0</v>
      </c>
      <c r="K35" s="103">
        <v>340</v>
      </c>
      <c r="L35" s="114">
        <v>0</v>
      </c>
      <c r="M35" s="39">
        <v>500</v>
      </c>
      <c r="N35" s="53">
        <f t="shared" si="5"/>
        <v>2580</v>
      </c>
      <c r="P35" s="120">
        <v>2327</v>
      </c>
    </row>
    <row r="36" spans="1:16" s="4" customFormat="1" x14ac:dyDescent="0.25">
      <c r="A36" s="51" t="s">
        <v>86</v>
      </c>
      <c r="B36" s="102">
        <v>120</v>
      </c>
      <c r="C36" s="103">
        <v>120</v>
      </c>
      <c r="D36" s="103">
        <v>120</v>
      </c>
      <c r="E36" s="103">
        <v>120</v>
      </c>
      <c r="F36" s="103">
        <v>150</v>
      </c>
      <c r="G36" s="103">
        <v>133</v>
      </c>
      <c r="H36" s="103">
        <v>70</v>
      </c>
      <c r="I36" s="103">
        <v>140</v>
      </c>
      <c r="J36" s="103">
        <v>150</v>
      </c>
      <c r="K36" s="103">
        <v>70</v>
      </c>
      <c r="L36" s="114">
        <v>75</v>
      </c>
      <c r="M36" s="39">
        <v>75</v>
      </c>
      <c r="N36" s="53">
        <f t="shared" si="5"/>
        <v>1343</v>
      </c>
      <c r="P36" s="120">
        <v>1390</v>
      </c>
    </row>
    <row r="37" spans="1:16" x14ac:dyDescent="0.25">
      <c r="A37" s="54" t="s">
        <v>87</v>
      </c>
      <c r="B37" s="102">
        <v>4400</v>
      </c>
      <c r="C37" s="103">
        <v>2320</v>
      </c>
      <c r="D37" s="103">
        <v>1565</v>
      </c>
      <c r="E37" s="103">
        <v>550</v>
      </c>
      <c r="F37" s="103">
        <v>1230</v>
      </c>
      <c r="G37" s="103">
        <v>810</v>
      </c>
      <c r="H37" s="103">
        <v>390</v>
      </c>
      <c r="I37" s="103">
        <v>1300</v>
      </c>
      <c r="J37" s="103">
        <v>685</v>
      </c>
      <c r="K37" s="103">
        <v>550</v>
      </c>
      <c r="L37" s="114">
        <v>1150</v>
      </c>
      <c r="M37" s="39">
        <v>1200</v>
      </c>
      <c r="N37" s="53">
        <f t="shared" si="5"/>
        <v>16150</v>
      </c>
      <c r="P37" s="120">
        <v>17813</v>
      </c>
    </row>
    <row r="38" spans="1:16" s="4" customFormat="1" x14ac:dyDescent="0.25">
      <c r="A38" s="71" t="s">
        <v>88</v>
      </c>
      <c r="B38" s="52">
        <v>35</v>
      </c>
      <c r="C38" s="39">
        <v>35</v>
      </c>
      <c r="D38" s="39">
        <v>150</v>
      </c>
      <c r="E38" s="39">
        <v>35</v>
      </c>
      <c r="F38" s="39">
        <v>0</v>
      </c>
      <c r="G38" s="39">
        <v>240</v>
      </c>
      <c r="H38" s="39">
        <v>320</v>
      </c>
      <c r="I38" s="39">
        <v>70</v>
      </c>
      <c r="J38" s="39">
        <v>50</v>
      </c>
      <c r="K38" s="39">
        <v>35</v>
      </c>
      <c r="L38" s="39">
        <v>35</v>
      </c>
      <c r="M38" s="39">
        <v>50</v>
      </c>
      <c r="N38" s="53">
        <f t="shared" si="5"/>
        <v>1055</v>
      </c>
      <c r="P38" s="120">
        <v>912</v>
      </c>
    </row>
    <row r="39" spans="1:16" s="4" customFormat="1" x14ac:dyDescent="0.25">
      <c r="A39" s="51" t="s">
        <v>89</v>
      </c>
      <c r="B39" s="52">
        <v>0</v>
      </c>
      <c r="C39" s="39">
        <v>0</v>
      </c>
      <c r="D39" s="39">
        <v>0</v>
      </c>
      <c r="E39" s="39">
        <v>0</v>
      </c>
      <c r="F39" s="39">
        <v>0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>
        <v>0</v>
      </c>
      <c r="M39" s="39">
        <v>0</v>
      </c>
      <c r="N39" s="53">
        <f t="shared" si="5"/>
        <v>0</v>
      </c>
      <c r="P39" s="120">
        <v>0</v>
      </c>
    </row>
    <row r="40" spans="1:16" s="4" customFormat="1" x14ac:dyDescent="0.25">
      <c r="A40" s="51" t="s">
        <v>90</v>
      </c>
      <c r="B40" s="52">
        <v>0</v>
      </c>
      <c r="C40" s="39">
        <v>0</v>
      </c>
      <c r="D40" s="39">
        <v>0</v>
      </c>
      <c r="E40" s="39">
        <v>0</v>
      </c>
      <c r="F40" s="39">
        <v>0</v>
      </c>
      <c r="G40" s="39">
        <v>0</v>
      </c>
      <c r="H40" s="39">
        <v>0</v>
      </c>
      <c r="I40" s="39">
        <v>0</v>
      </c>
      <c r="J40" s="39">
        <v>0</v>
      </c>
      <c r="K40" s="39">
        <v>0</v>
      </c>
      <c r="L40" s="39">
        <v>0</v>
      </c>
      <c r="M40" s="39">
        <v>0</v>
      </c>
      <c r="N40" s="53">
        <f>SUM(B40:M40)</f>
        <v>0</v>
      </c>
      <c r="P40" s="120">
        <v>0</v>
      </c>
    </row>
    <row r="41" spans="1:16" s="4" customFormat="1" x14ac:dyDescent="0.25">
      <c r="A41" s="51" t="s">
        <v>91</v>
      </c>
      <c r="B41" s="52">
        <v>0</v>
      </c>
      <c r="C41" s="39">
        <v>0</v>
      </c>
      <c r="D41" s="39">
        <v>0</v>
      </c>
      <c r="E41" s="39">
        <v>0</v>
      </c>
      <c r="F41" s="39">
        <v>0</v>
      </c>
      <c r="G41" s="39">
        <v>0</v>
      </c>
      <c r="H41" s="39">
        <v>0</v>
      </c>
      <c r="I41" s="39">
        <v>0</v>
      </c>
      <c r="J41" s="39">
        <v>0</v>
      </c>
      <c r="K41" s="39">
        <v>0</v>
      </c>
      <c r="L41" s="39">
        <v>0</v>
      </c>
      <c r="M41" s="39">
        <v>0</v>
      </c>
      <c r="N41" s="53">
        <f t="shared" si="5"/>
        <v>0</v>
      </c>
      <c r="P41" s="120">
        <v>0</v>
      </c>
    </row>
    <row r="42" spans="1:16" s="4" customFormat="1" x14ac:dyDescent="0.25">
      <c r="A42" s="51" t="s">
        <v>92</v>
      </c>
      <c r="B42" s="52">
        <v>0</v>
      </c>
      <c r="C42" s="39">
        <v>0</v>
      </c>
      <c r="D42" s="39">
        <v>0</v>
      </c>
      <c r="E42" s="39">
        <v>0</v>
      </c>
      <c r="F42" s="39">
        <v>0</v>
      </c>
      <c r="G42" s="39">
        <v>0</v>
      </c>
      <c r="H42" s="39">
        <v>0</v>
      </c>
      <c r="I42" s="39">
        <v>0</v>
      </c>
      <c r="J42" s="39">
        <v>0</v>
      </c>
      <c r="K42" s="39">
        <v>0</v>
      </c>
      <c r="L42" s="39">
        <v>0</v>
      </c>
      <c r="M42" s="39">
        <v>0</v>
      </c>
      <c r="N42" s="53">
        <f t="shared" si="5"/>
        <v>0</v>
      </c>
      <c r="P42" s="120">
        <v>0</v>
      </c>
    </row>
    <row r="43" spans="1:16" x14ac:dyDescent="0.25">
      <c r="A43" s="54" t="s">
        <v>93</v>
      </c>
      <c r="B43" s="52">
        <v>420</v>
      </c>
      <c r="C43" s="39">
        <v>375</v>
      </c>
      <c r="D43" s="39">
        <v>375</v>
      </c>
      <c r="E43" s="39">
        <v>420</v>
      </c>
      <c r="F43" s="39">
        <v>374</v>
      </c>
      <c r="G43" s="39">
        <v>374</v>
      </c>
      <c r="H43" s="39">
        <v>420</v>
      </c>
      <c r="I43" s="39">
        <v>375</v>
      </c>
      <c r="J43" s="39">
        <v>375</v>
      </c>
      <c r="K43" s="39">
        <v>420</v>
      </c>
      <c r="L43" s="39">
        <v>375</v>
      </c>
      <c r="M43" s="39">
        <v>375</v>
      </c>
      <c r="N43" s="53">
        <f>SUM(B43:M43)</f>
        <v>4678</v>
      </c>
      <c r="P43" s="120">
        <v>4589</v>
      </c>
    </row>
    <row r="44" spans="1:16" s="4" customFormat="1" x14ac:dyDescent="0.25">
      <c r="A44" s="51" t="s">
        <v>73</v>
      </c>
      <c r="B44" s="72">
        <v>0</v>
      </c>
      <c r="C44" s="29">
        <v>0</v>
      </c>
      <c r="D44" s="29">
        <v>90</v>
      </c>
      <c r="E44" s="29">
        <v>0</v>
      </c>
      <c r="F44" s="29">
        <v>0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M44" s="39">
        <v>0</v>
      </c>
      <c r="N44" s="73">
        <f>SUM(B44:M44)</f>
        <v>90</v>
      </c>
      <c r="P44" s="125">
        <v>91</v>
      </c>
    </row>
    <row r="45" spans="1:16" ht="14.4" x14ac:dyDescent="0.3">
      <c r="A45" s="74" t="s">
        <v>94</v>
      </c>
      <c r="B45" s="58">
        <f>SUM(B33:B44)</f>
        <v>8580</v>
      </c>
      <c r="C45" s="25">
        <f t="shared" ref="C45:M45" si="6">SUM(C33:C44)</f>
        <v>6475</v>
      </c>
      <c r="D45" s="25">
        <f t="shared" si="6"/>
        <v>6780</v>
      </c>
      <c r="E45" s="25">
        <f t="shared" si="6"/>
        <v>5530</v>
      </c>
      <c r="F45" s="25">
        <f t="shared" si="6"/>
        <v>5629</v>
      </c>
      <c r="G45" s="25">
        <f t="shared" si="6"/>
        <v>6337</v>
      </c>
      <c r="H45" s="25">
        <f t="shared" si="6"/>
        <v>5055</v>
      </c>
      <c r="I45" s="25">
        <f t="shared" si="6"/>
        <v>5840</v>
      </c>
      <c r="J45" s="25">
        <f t="shared" si="6"/>
        <v>4865</v>
      </c>
      <c r="K45" s="25">
        <f t="shared" si="6"/>
        <v>5020</v>
      </c>
      <c r="L45" s="25">
        <f t="shared" si="6"/>
        <v>6240</v>
      </c>
      <c r="M45" s="25">
        <f t="shared" si="6"/>
        <v>6805</v>
      </c>
      <c r="N45" s="75">
        <f>SUM(N33:N44)</f>
        <v>73156</v>
      </c>
      <c r="P45" s="122">
        <f>SUM(P33:P44)</f>
        <v>79077</v>
      </c>
    </row>
    <row r="46" spans="1:16" ht="14.4" x14ac:dyDescent="0.3">
      <c r="A46" s="74"/>
      <c r="B46" s="55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76"/>
      <c r="P46" s="120"/>
    </row>
    <row r="47" spans="1:16" ht="14.4" x14ac:dyDescent="0.3">
      <c r="A47" s="69" t="s">
        <v>127</v>
      </c>
      <c r="B47" s="55"/>
      <c r="C47" s="104"/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56"/>
      <c r="P47" s="120"/>
    </row>
    <row r="48" spans="1:16" s="4" customFormat="1" x14ac:dyDescent="0.25">
      <c r="A48" s="51" t="s">
        <v>83</v>
      </c>
      <c r="B48" s="52">
        <v>11378</v>
      </c>
      <c r="C48" s="39">
        <v>11378</v>
      </c>
      <c r="D48" s="39">
        <v>11378</v>
      </c>
      <c r="E48" s="39">
        <v>11378</v>
      </c>
      <c r="F48" s="39">
        <v>11378</v>
      </c>
      <c r="G48" s="39">
        <v>11378</v>
      </c>
      <c r="H48" s="39">
        <v>11378</v>
      </c>
      <c r="I48" s="39">
        <v>11378</v>
      </c>
      <c r="J48" s="39">
        <v>11378</v>
      </c>
      <c r="K48" s="39">
        <v>11378</v>
      </c>
      <c r="L48" s="39">
        <v>11378</v>
      </c>
      <c r="M48" s="39">
        <v>11378</v>
      </c>
      <c r="N48" s="53">
        <f t="shared" ref="N48:N54" si="7">SUM(B48:M48)</f>
        <v>136536</v>
      </c>
      <c r="P48" s="120">
        <v>97480</v>
      </c>
    </row>
    <row r="49" spans="1:16" s="4" customFormat="1" x14ac:dyDescent="0.25">
      <c r="A49" s="51" t="s">
        <v>85</v>
      </c>
      <c r="B49" s="102">
        <v>240</v>
      </c>
      <c r="C49" s="103">
        <v>187</v>
      </c>
      <c r="D49" s="103">
        <v>600</v>
      </c>
      <c r="E49" s="103">
        <v>40</v>
      </c>
      <c r="F49" s="103">
        <v>300</v>
      </c>
      <c r="G49" s="103">
        <v>350</v>
      </c>
      <c r="H49" s="103">
        <v>450</v>
      </c>
      <c r="I49" s="103">
        <v>700</v>
      </c>
      <c r="J49" s="103">
        <v>375</v>
      </c>
      <c r="K49" s="103">
        <v>150</v>
      </c>
      <c r="L49" s="114">
        <v>150</v>
      </c>
      <c r="M49" s="39">
        <v>200</v>
      </c>
      <c r="N49" s="53">
        <f t="shared" si="7"/>
        <v>3742</v>
      </c>
      <c r="P49" s="120">
        <v>3321</v>
      </c>
    </row>
    <row r="50" spans="1:16" s="4" customFormat="1" x14ac:dyDescent="0.25">
      <c r="A50" s="51" t="s">
        <v>73</v>
      </c>
      <c r="B50" s="102">
        <v>1700</v>
      </c>
      <c r="C50" s="103">
        <v>1373</v>
      </c>
      <c r="D50" s="103">
        <v>2898</v>
      </c>
      <c r="E50" s="103">
        <v>1298</v>
      </c>
      <c r="F50" s="103">
        <v>1598</v>
      </c>
      <c r="G50" s="103">
        <v>1138</v>
      </c>
      <c r="H50" s="103">
        <v>1598</v>
      </c>
      <c r="I50" s="103">
        <v>1598</v>
      </c>
      <c r="J50" s="103">
        <v>1598</v>
      </c>
      <c r="K50" s="103">
        <v>1748</v>
      </c>
      <c r="L50" s="114">
        <v>2448</v>
      </c>
      <c r="M50" s="39">
        <v>2098</v>
      </c>
      <c r="N50" s="53">
        <f t="shared" si="7"/>
        <v>21093</v>
      </c>
      <c r="P50" s="120">
        <v>21455</v>
      </c>
    </row>
    <row r="51" spans="1:16" s="4" customFormat="1" x14ac:dyDescent="0.25">
      <c r="A51" s="51" t="s">
        <v>95</v>
      </c>
      <c r="B51" s="9">
        <v>6866</v>
      </c>
      <c r="C51" s="35">
        <v>6866</v>
      </c>
      <c r="D51" s="35">
        <v>6866</v>
      </c>
      <c r="E51" s="39">
        <v>6866</v>
      </c>
      <c r="F51" s="39">
        <v>6866</v>
      </c>
      <c r="G51" s="39">
        <v>6866</v>
      </c>
      <c r="H51" s="39">
        <v>6866</v>
      </c>
      <c r="I51" s="39">
        <v>6866</v>
      </c>
      <c r="J51" s="39">
        <v>6866</v>
      </c>
      <c r="K51" s="39">
        <v>6866</v>
      </c>
      <c r="L51" s="39">
        <v>6866</v>
      </c>
      <c r="M51" s="35">
        <v>6866</v>
      </c>
      <c r="N51" s="10">
        <f t="shared" si="7"/>
        <v>82392</v>
      </c>
      <c r="P51" s="120">
        <v>75042</v>
      </c>
    </row>
    <row r="52" spans="1:16" s="4" customFormat="1" x14ac:dyDescent="0.25">
      <c r="A52" s="51" t="s">
        <v>126</v>
      </c>
      <c r="B52" s="119">
        <v>15726</v>
      </c>
      <c r="C52" s="114">
        <v>15826</v>
      </c>
      <c r="D52" s="114">
        <v>20326</v>
      </c>
      <c r="E52" s="114">
        <v>11156</v>
      </c>
      <c r="F52" s="114">
        <v>15606</v>
      </c>
      <c r="G52" s="114">
        <v>9606</v>
      </c>
      <c r="H52" s="114">
        <v>14136</v>
      </c>
      <c r="I52" s="114">
        <v>29191</v>
      </c>
      <c r="J52" s="114">
        <v>9581</v>
      </c>
      <c r="K52" s="114">
        <v>9741</v>
      </c>
      <c r="L52" s="114">
        <v>7831</v>
      </c>
      <c r="M52" s="39">
        <v>11276</v>
      </c>
      <c r="N52" s="53">
        <f t="shared" si="7"/>
        <v>170002</v>
      </c>
      <c r="P52" s="120">
        <v>158713</v>
      </c>
    </row>
    <row r="53" spans="1:16" s="4" customFormat="1" x14ac:dyDescent="0.25">
      <c r="A53" s="51" t="s">
        <v>139</v>
      </c>
      <c r="B53" s="102">
        <v>7312</v>
      </c>
      <c r="C53" s="103">
        <v>6362</v>
      </c>
      <c r="D53" s="103">
        <v>5362</v>
      </c>
      <c r="E53" s="103">
        <v>3862</v>
      </c>
      <c r="F53" s="103">
        <v>5762</v>
      </c>
      <c r="G53" s="103">
        <v>4362</v>
      </c>
      <c r="H53" s="103">
        <v>3762</v>
      </c>
      <c r="I53" s="103">
        <v>9862</v>
      </c>
      <c r="J53" s="103">
        <v>6062</v>
      </c>
      <c r="K53" s="103">
        <v>0</v>
      </c>
      <c r="L53" s="114">
        <v>0</v>
      </c>
      <c r="M53" s="39">
        <v>0</v>
      </c>
      <c r="N53" s="53">
        <f t="shared" si="7"/>
        <v>52708</v>
      </c>
      <c r="P53" s="120">
        <v>36327</v>
      </c>
    </row>
    <row r="54" spans="1:16" s="4" customFormat="1" x14ac:dyDescent="0.25">
      <c r="A54" s="51" t="s">
        <v>123</v>
      </c>
      <c r="B54" s="108">
        <v>1435</v>
      </c>
      <c r="C54" s="109">
        <v>2375</v>
      </c>
      <c r="D54" s="109">
        <v>455</v>
      </c>
      <c r="E54" s="109">
        <v>1000</v>
      </c>
      <c r="F54" s="109">
        <v>100</v>
      </c>
      <c r="G54" s="109">
        <v>620</v>
      </c>
      <c r="H54" s="109">
        <v>185</v>
      </c>
      <c r="I54" s="109">
        <v>1250</v>
      </c>
      <c r="J54" s="109">
        <v>35</v>
      </c>
      <c r="K54" s="109">
        <v>200</v>
      </c>
      <c r="L54" s="118">
        <v>775</v>
      </c>
      <c r="M54" s="29">
        <v>500</v>
      </c>
      <c r="N54" s="73">
        <f t="shared" si="7"/>
        <v>8930</v>
      </c>
      <c r="P54" s="125">
        <v>9483</v>
      </c>
    </row>
    <row r="55" spans="1:16" s="4" customFormat="1" ht="14.4" x14ac:dyDescent="0.3">
      <c r="A55" s="77" t="s">
        <v>63</v>
      </c>
      <c r="B55" s="58">
        <f>SUM(B48:B54)</f>
        <v>44657</v>
      </c>
      <c r="C55" s="25">
        <f t="shared" ref="C55:M55" si="8">SUM(C48:C54)</f>
        <v>44367</v>
      </c>
      <c r="D55" s="25">
        <f t="shared" si="8"/>
        <v>47885</v>
      </c>
      <c r="E55" s="25">
        <f t="shared" si="8"/>
        <v>35600</v>
      </c>
      <c r="F55" s="25">
        <f t="shared" si="8"/>
        <v>41610</v>
      </c>
      <c r="G55" s="25">
        <f t="shared" si="8"/>
        <v>34320</v>
      </c>
      <c r="H55" s="25">
        <f t="shared" si="8"/>
        <v>38375</v>
      </c>
      <c r="I55" s="25">
        <f t="shared" si="8"/>
        <v>60845</v>
      </c>
      <c r="J55" s="25">
        <f t="shared" si="8"/>
        <v>35895</v>
      </c>
      <c r="K55" s="25">
        <f t="shared" si="8"/>
        <v>30083</v>
      </c>
      <c r="L55" s="25">
        <f t="shared" si="8"/>
        <v>29448</v>
      </c>
      <c r="M55" s="25">
        <f t="shared" si="8"/>
        <v>32318</v>
      </c>
      <c r="N55" s="75">
        <f>SUM(N48:N54)</f>
        <v>475403</v>
      </c>
      <c r="P55" s="122">
        <f>SUM(P48:P54)</f>
        <v>401821</v>
      </c>
    </row>
    <row r="56" spans="1:16" s="4" customFormat="1" x14ac:dyDescent="0.25">
      <c r="A56" s="51"/>
      <c r="B56" s="52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76"/>
      <c r="P56" s="120"/>
    </row>
    <row r="57" spans="1:16" s="4" customFormat="1" ht="14.4" x14ac:dyDescent="0.3">
      <c r="A57" s="78" t="s">
        <v>96</v>
      </c>
      <c r="B57" s="52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53"/>
      <c r="P57" s="120"/>
    </row>
    <row r="58" spans="1:16" s="4" customFormat="1" x14ac:dyDescent="0.25">
      <c r="A58" s="51" t="s">
        <v>83</v>
      </c>
      <c r="B58" s="52">
        <v>1257</v>
      </c>
      <c r="C58" s="39">
        <v>1257</v>
      </c>
      <c r="D58" s="39">
        <v>1257</v>
      </c>
      <c r="E58" s="39">
        <v>1257</v>
      </c>
      <c r="F58" s="39">
        <v>1257</v>
      </c>
      <c r="G58" s="39">
        <v>1257</v>
      </c>
      <c r="H58" s="39">
        <v>1257</v>
      </c>
      <c r="I58" s="39">
        <v>1257</v>
      </c>
      <c r="J58" s="39">
        <v>1257</v>
      </c>
      <c r="K58" s="39">
        <v>1257</v>
      </c>
      <c r="L58" s="39">
        <v>1257</v>
      </c>
      <c r="M58" s="39">
        <v>1257</v>
      </c>
      <c r="N58" s="53">
        <f>SUM(B58:M58)</f>
        <v>15084</v>
      </c>
      <c r="P58" s="120">
        <v>15221</v>
      </c>
    </row>
    <row r="59" spans="1:16" s="4" customFormat="1" x14ac:dyDescent="0.25">
      <c r="A59" s="51" t="s">
        <v>84</v>
      </c>
      <c r="B59" s="52">
        <v>0</v>
      </c>
      <c r="C59" s="39">
        <v>0</v>
      </c>
      <c r="D59" s="39">
        <v>0</v>
      </c>
      <c r="E59" s="39">
        <v>0</v>
      </c>
      <c r="F59" s="39">
        <v>0</v>
      </c>
      <c r="G59" s="39">
        <v>0</v>
      </c>
      <c r="H59" s="39">
        <v>0</v>
      </c>
      <c r="I59" s="39">
        <v>0</v>
      </c>
      <c r="J59" s="39">
        <v>0</v>
      </c>
      <c r="K59" s="39">
        <v>0</v>
      </c>
      <c r="L59" s="39">
        <v>0</v>
      </c>
      <c r="M59" s="39">
        <v>0</v>
      </c>
      <c r="N59" s="53">
        <f t="shared" ref="N59:N67" si="9">SUM(B59:M59)</f>
        <v>0</v>
      </c>
      <c r="P59" s="120">
        <v>0</v>
      </c>
    </row>
    <row r="60" spans="1:16" s="4" customFormat="1" x14ac:dyDescent="0.25">
      <c r="A60" s="51" t="s">
        <v>85</v>
      </c>
      <c r="B60" s="52">
        <v>0</v>
      </c>
      <c r="C60" s="39">
        <v>0</v>
      </c>
      <c r="D60" s="39">
        <v>0</v>
      </c>
      <c r="E60" s="39">
        <v>0</v>
      </c>
      <c r="F60" s="39">
        <v>0</v>
      </c>
      <c r="G60" s="39">
        <v>0</v>
      </c>
      <c r="H60" s="39">
        <v>125</v>
      </c>
      <c r="I60" s="39">
        <v>0</v>
      </c>
      <c r="J60" s="39">
        <v>0</v>
      </c>
      <c r="K60" s="39">
        <v>0</v>
      </c>
      <c r="L60" s="39">
        <v>0</v>
      </c>
      <c r="M60" s="39">
        <v>0</v>
      </c>
      <c r="N60" s="53">
        <f>SUM(B60:M60)</f>
        <v>125</v>
      </c>
      <c r="P60" s="120">
        <v>97</v>
      </c>
    </row>
    <row r="61" spans="1:16" s="4" customFormat="1" x14ac:dyDescent="0.25">
      <c r="A61" s="51" t="s">
        <v>86</v>
      </c>
      <c r="B61" s="52">
        <v>0</v>
      </c>
      <c r="C61" s="39">
        <v>0</v>
      </c>
      <c r="D61" s="39">
        <v>0</v>
      </c>
      <c r="E61" s="39">
        <v>0</v>
      </c>
      <c r="F61" s="39">
        <v>0</v>
      </c>
      <c r="G61" s="39">
        <v>0</v>
      </c>
      <c r="H61" s="39">
        <v>0</v>
      </c>
      <c r="I61" s="39">
        <v>0</v>
      </c>
      <c r="J61" s="39">
        <v>0</v>
      </c>
      <c r="K61" s="39">
        <v>0</v>
      </c>
      <c r="L61" s="39">
        <v>0</v>
      </c>
      <c r="M61" s="39">
        <v>0</v>
      </c>
      <c r="N61" s="53">
        <f>SUM(B61:M61)</f>
        <v>0</v>
      </c>
      <c r="P61" s="120">
        <v>0</v>
      </c>
    </row>
    <row r="62" spans="1:16" s="4" customFormat="1" x14ac:dyDescent="0.25">
      <c r="A62" s="51" t="s">
        <v>93</v>
      </c>
      <c r="B62" s="102">
        <v>15</v>
      </c>
      <c r="C62" s="103">
        <v>0</v>
      </c>
      <c r="D62" s="103">
        <v>15</v>
      </c>
      <c r="E62" s="103">
        <v>0</v>
      </c>
      <c r="F62" s="103">
        <v>0</v>
      </c>
      <c r="G62" s="103">
        <v>15</v>
      </c>
      <c r="H62" s="103">
        <v>15</v>
      </c>
      <c r="I62" s="103">
        <v>0</v>
      </c>
      <c r="J62" s="103">
        <v>0</v>
      </c>
      <c r="K62" s="103">
        <v>0</v>
      </c>
      <c r="L62" s="114">
        <v>0</v>
      </c>
      <c r="M62" s="39">
        <v>0</v>
      </c>
      <c r="N62" s="53">
        <f t="shared" si="9"/>
        <v>60</v>
      </c>
      <c r="P62" s="120">
        <v>58</v>
      </c>
    </row>
    <row r="63" spans="1:16" s="4" customFormat="1" x14ac:dyDescent="0.25">
      <c r="A63" s="51" t="s">
        <v>97</v>
      </c>
      <c r="B63" s="52">
        <v>1000</v>
      </c>
      <c r="C63" s="39">
        <v>1000</v>
      </c>
      <c r="D63" s="39">
        <v>1000</v>
      </c>
      <c r="E63" s="39">
        <v>1000</v>
      </c>
      <c r="F63" s="39">
        <v>1000</v>
      </c>
      <c r="G63" s="39">
        <v>1000</v>
      </c>
      <c r="H63" s="39">
        <v>1000</v>
      </c>
      <c r="I63" s="39">
        <v>1000</v>
      </c>
      <c r="J63" s="39">
        <v>1000</v>
      </c>
      <c r="K63" s="39">
        <v>1000</v>
      </c>
      <c r="L63" s="39">
        <v>1000</v>
      </c>
      <c r="M63" s="39">
        <v>1000</v>
      </c>
      <c r="N63" s="53">
        <f t="shared" si="9"/>
        <v>12000</v>
      </c>
      <c r="P63" s="120">
        <v>6240</v>
      </c>
    </row>
    <row r="64" spans="1:16" s="4" customFormat="1" x14ac:dyDescent="0.25">
      <c r="A64" s="51" t="s">
        <v>98</v>
      </c>
      <c r="B64" s="102">
        <v>35</v>
      </c>
      <c r="C64" s="103">
        <v>0</v>
      </c>
      <c r="D64" s="103">
        <v>0</v>
      </c>
      <c r="E64" s="103">
        <v>0</v>
      </c>
      <c r="F64" s="103">
        <v>0</v>
      </c>
      <c r="G64" s="103">
        <v>0</v>
      </c>
      <c r="H64" s="103">
        <v>0</v>
      </c>
      <c r="I64" s="103">
        <v>0</v>
      </c>
      <c r="J64" s="103">
        <v>0</v>
      </c>
      <c r="K64" s="103">
        <v>0</v>
      </c>
      <c r="L64" s="114">
        <v>0</v>
      </c>
      <c r="M64" s="39">
        <v>0</v>
      </c>
      <c r="N64" s="53">
        <f t="shared" si="9"/>
        <v>35</v>
      </c>
      <c r="P64" s="120">
        <v>33</v>
      </c>
    </row>
    <row r="65" spans="1:16" s="4" customFormat="1" x14ac:dyDescent="0.25">
      <c r="A65" s="51" t="s">
        <v>99</v>
      </c>
      <c r="B65" s="52">
        <v>0</v>
      </c>
      <c r="C65" s="39">
        <v>0</v>
      </c>
      <c r="D65" s="39">
        <v>0</v>
      </c>
      <c r="E65" s="39">
        <v>0</v>
      </c>
      <c r="F65" s="39">
        <v>0</v>
      </c>
      <c r="G65" s="39">
        <v>2625</v>
      </c>
      <c r="H65" s="39">
        <v>1575</v>
      </c>
      <c r="I65" s="39">
        <v>1680</v>
      </c>
      <c r="J65" s="39">
        <v>0</v>
      </c>
      <c r="K65" s="39">
        <v>0</v>
      </c>
      <c r="L65" s="39">
        <v>0</v>
      </c>
      <c r="M65" s="39">
        <v>0</v>
      </c>
      <c r="N65" s="53">
        <f t="shared" si="9"/>
        <v>5880</v>
      </c>
      <c r="P65" s="120">
        <v>5880</v>
      </c>
    </row>
    <row r="66" spans="1:16" s="4" customFormat="1" x14ac:dyDescent="0.25">
      <c r="A66" s="51" t="s">
        <v>100</v>
      </c>
      <c r="B66" s="52">
        <v>20</v>
      </c>
      <c r="C66" s="39">
        <v>0</v>
      </c>
      <c r="D66" s="39">
        <v>15</v>
      </c>
      <c r="E66" s="39">
        <v>0</v>
      </c>
      <c r="F66" s="39">
        <v>0</v>
      </c>
      <c r="G66" s="39">
        <v>0</v>
      </c>
      <c r="H66" s="39"/>
      <c r="I66" s="39">
        <v>60</v>
      </c>
      <c r="J66" s="39">
        <v>0</v>
      </c>
      <c r="K66" s="39">
        <v>0</v>
      </c>
      <c r="L66" s="39">
        <v>0</v>
      </c>
      <c r="M66" s="39">
        <v>0</v>
      </c>
      <c r="N66" s="53">
        <f t="shared" si="9"/>
        <v>95</v>
      </c>
      <c r="P66" s="120">
        <v>58</v>
      </c>
    </row>
    <row r="67" spans="1:16" s="4" customFormat="1" x14ac:dyDescent="0.25">
      <c r="A67" s="51" t="s">
        <v>73</v>
      </c>
      <c r="B67" s="72">
        <v>500</v>
      </c>
      <c r="C67" s="29">
        <v>1200</v>
      </c>
      <c r="D67" s="29">
        <v>130</v>
      </c>
      <c r="E67" s="29">
        <v>2100</v>
      </c>
      <c r="F67" s="29">
        <v>350</v>
      </c>
      <c r="G67" s="29">
        <v>1900</v>
      </c>
      <c r="H67" s="29">
        <v>-1300</v>
      </c>
      <c r="I67" s="29">
        <v>715</v>
      </c>
      <c r="J67" s="29">
        <v>110</v>
      </c>
      <c r="K67" s="29">
        <v>-500</v>
      </c>
      <c r="L67" s="29">
        <v>-2000</v>
      </c>
      <c r="M67" s="29">
        <v>-500</v>
      </c>
      <c r="N67" s="73">
        <f t="shared" si="9"/>
        <v>2705</v>
      </c>
      <c r="P67" s="125">
        <v>-1246</v>
      </c>
    </row>
    <row r="68" spans="1:16" s="4" customFormat="1" ht="14.4" x14ac:dyDescent="0.3">
      <c r="A68" s="79" t="s">
        <v>63</v>
      </c>
      <c r="B68" s="80">
        <f>SUM(B58:B67)</f>
        <v>2827</v>
      </c>
      <c r="C68" s="31">
        <f t="shared" ref="C68:M68" si="10">SUM(C58:C67)</f>
        <v>3457</v>
      </c>
      <c r="D68" s="31">
        <f t="shared" si="10"/>
        <v>2417</v>
      </c>
      <c r="E68" s="31">
        <f t="shared" si="10"/>
        <v>4357</v>
      </c>
      <c r="F68" s="31">
        <f t="shared" si="10"/>
        <v>2607</v>
      </c>
      <c r="G68" s="31">
        <f t="shared" si="10"/>
        <v>6797</v>
      </c>
      <c r="H68" s="31">
        <f t="shared" si="10"/>
        <v>2672</v>
      </c>
      <c r="I68" s="31">
        <f t="shared" si="10"/>
        <v>4712</v>
      </c>
      <c r="J68" s="31">
        <f t="shared" si="10"/>
        <v>2367</v>
      </c>
      <c r="K68" s="31">
        <f t="shared" si="10"/>
        <v>1757</v>
      </c>
      <c r="L68" s="31">
        <f t="shared" si="10"/>
        <v>257</v>
      </c>
      <c r="M68" s="31">
        <f t="shared" si="10"/>
        <v>1757</v>
      </c>
      <c r="N68" s="161">
        <f>SUM(N58:N67)</f>
        <v>35984</v>
      </c>
      <c r="P68" s="120">
        <v>26341</v>
      </c>
    </row>
    <row r="69" spans="1:16" s="4" customFormat="1" x14ac:dyDescent="0.25">
      <c r="A69" s="71"/>
      <c r="B69" s="52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76"/>
      <c r="P69" s="120"/>
    </row>
    <row r="70" spans="1:16" s="4" customFormat="1" x14ac:dyDescent="0.25">
      <c r="A70" s="81" t="s">
        <v>101</v>
      </c>
      <c r="B70" s="82">
        <f t="shared" ref="B70:M70" si="11">B68+B55+B45</f>
        <v>56064</v>
      </c>
      <c r="C70" s="32">
        <f t="shared" si="11"/>
        <v>54299</v>
      </c>
      <c r="D70" s="32">
        <f t="shared" si="11"/>
        <v>57082</v>
      </c>
      <c r="E70" s="32">
        <f t="shared" si="11"/>
        <v>45487</v>
      </c>
      <c r="F70" s="32">
        <f t="shared" si="11"/>
        <v>49846</v>
      </c>
      <c r="G70" s="32">
        <f t="shared" si="11"/>
        <v>47454</v>
      </c>
      <c r="H70" s="32">
        <f t="shared" si="11"/>
        <v>46102</v>
      </c>
      <c r="I70" s="32">
        <f t="shared" si="11"/>
        <v>71397</v>
      </c>
      <c r="J70" s="32">
        <f t="shared" si="11"/>
        <v>43127</v>
      </c>
      <c r="K70" s="32">
        <f t="shared" si="11"/>
        <v>36860</v>
      </c>
      <c r="L70" s="32">
        <f t="shared" si="11"/>
        <v>35945</v>
      </c>
      <c r="M70" s="32">
        <f t="shared" si="11"/>
        <v>40880</v>
      </c>
      <c r="N70" s="75">
        <f>SUM(B70:M70)</f>
        <v>584543</v>
      </c>
      <c r="P70" s="122">
        <f>P68+P55+P45</f>
        <v>507239</v>
      </c>
    </row>
    <row r="71" spans="1:16" s="4" customFormat="1" x14ac:dyDescent="0.25">
      <c r="A71" s="71"/>
      <c r="B71" s="67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68"/>
      <c r="P71" s="124"/>
    </row>
    <row r="72" spans="1:16" s="4" customFormat="1" x14ac:dyDescent="0.25">
      <c r="A72" s="71"/>
      <c r="B72" s="8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84"/>
      <c r="P72" s="123"/>
    </row>
    <row r="73" spans="1:16" s="4" customFormat="1" ht="13.8" thickBot="1" x14ac:dyDescent="0.3">
      <c r="A73" s="85" t="s">
        <v>102</v>
      </c>
      <c r="B73" s="86">
        <f t="shared" ref="B73:N73" si="12">B29-B70</f>
        <v>-23813</v>
      </c>
      <c r="C73" s="34">
        <f t="shared" si="12"/>
        <v>-20408</v>
      </c>
      <c r="D73" s="34">
        <f t="shared" si="12"/>
        <v>-18116</v>
      </c>
      <c r="E73" s="34">
        <f t="shared" si="12"/>
        <v>37384</v>
      </c>
      <c r="F73" s="34">
        <f t="shared" si="12"/>
        <v>7775</v>
      </c>
      <c r="G73" s="34">
        <f t="shared" si="12"/>
        <v>2867</v>
      </c>
      <c r="H73" s="34">
        <f t="shared" si="12"/>
        <v>-13851</v>
      </c>
      <c r="I73" s="34">
        <f t="shared" si="12"/>
        <v>22109</v>
      </c>
      <c r="J73" s="34">
        <f t="shared" si="12"/>
        <v>-16781</v>
      </c>
      <c r="K73" s="34">
        <f t="shared" si="12"/>
        <v>-104</v>
      </c>
      <c r="L73" s="34">
        <f t="shared" si="12"/>
        <v>-5049</v>
      </c>
      <c r="M73" s="34">
        <f t="shared" si="12"/>
        <v>31761</v>
      </c>
      <c r="N73" s="87">
        <f t="shared" si="12"/>
        <v>3774</v>
      </c>
      <c r="P73" s="126">
        <v>91462</v>
      </c>
    </row>
    <row r="74" spans="1:16" ht="13.8" thickTop="1" x14ac:dyDescent="0.25"/>
    <row r="78" spans="1:16" x14ac:dyDescent="0.25">
      <c r="P78" s="88"/>
    </row>
    <row r="82" spans="16:16" x14ac:dyDescent="0.25">
      <c r="P82" s="88"/>
    </row>
    <row r="87" spans="16:16" x14ac:dyDescent="0.25">
      <c r="P87" s="88"/>
    </row>
    <row r="93" spans="16:16" x14ac:dyDescent="0.25">
      <c r="P93" s="88"/>
    </row>
    <row r="94" spans="16:16" x14ac:dyDescent="0.25">
      <c r="P94" s="88"/>
    </row>
    <row r="100" spans="16:16" x14ac:dyDescent="0.25">
      <c r="P100" s="88"/>
    </row>
    <row r="102" spans="16:16" x14ac:dyDescent="0.25">
      <c r="P102" s="88"/>
    </row>
    <row r="103" spans="16:16" x14ac:dyDescent="0.25">
      <c r="P103" s="88"/>
    </row>
    <row r="104" spans="16:16" x14ac:dyDescent="0.25">
      <c r="P104" s="88"/>
    </row>
    <row r="105" spans="16:16" x14ac:dyDescent="0.25">
      <c r="P105" s="88"/>
    </row>
    <row r="106" spans="16:16" x14ac:dyDescent="0.25">
      <c r="P106" s="88"/>
    </row>
    <row r="108" spans="16:16" x14ac:dyDescent="0.25">
      <c r="P108" s="88"/>
    </row>
    <row r="112" spans="16:16" x14ac:dyDescent="0.25">
      <c r="P112" s="88"/>
    </row>
    <row r="113" spans="16:16" x14ac:dyDescent="0.25">
      <c r="P113" s="88"/>
    </row>
    <row r="114" spans="16:16" x14ac:dyDescent="0.25">
      <c r="P114" s="88"/>
    </row>
    <row r="115" spans="16:16" x14ac:dyDescent="0.25">
      <c r="P115" s="88"/>
    </row>
    <row r="116" spans="16:16" x14ac:dyDescent="0.25">
      <c r="P116" s="88"/>
    </row>
    <row r="117" spans="16:16" x14ac:dyDescent="0.25">
      <c r="P117" s="88"/>
    </row>
    <row r="118" spans="16:16" x14ac:dyDescent="0.25">
      <c r="P118" s="88"/>
    </row>
    <row r="119" spans="16:16" x14ac:dyDescent="0.25">
      <c r="P119" s="88"/>
    </row>
    <row r="120" spans="16:16" x14ac:dyDescent="0.25">
      <c r="P120" s="88"/>
    </row>
    <row r="121" spans="16:16" x14ac:dyDescent="0.25">
      <c r="P121" s="88"/>
    </row>
    <row r="122" spans="16:16" x14ac:dyDescent="0.25">
      <c r="P122" s="88"/>
    </row>
    <row r="123" spans="16:16" x14ac:dyDescent="0.25">
      <c r="P123" s="88"/>
    </row>
    <row r="124" spans="16:16" x14ac:dyDescent="0.25">
      <c r="P124" s="88"/>
    </row>
    <row r="125" spans="16:16" x14ac:dyDescent="0.25">
      <c r="P125" s="88"/>
    </row>
    <row r="126" spans="16:16" x14ac:dyDescent="0.25">
      <c r="P126" s="88"/>
    </row>
    <row r="127" spans="16:16" x14ac:dyDescent="0.25">
      <c r="P127" s="88"/>
    </row>
    <row r="128" spans="16:16" x14ac:dyDescent="0.25">
      <c r="P128" s="88"/>
    </row>
    <row r="129" spans="16:16" x14ac:dyDescent="0.25">
      <c r="P129" s="88"/>
    </row>
    <row r="130" spans="16:16" x14ac:dyDescent="0.25">
      <c r="P130" s="88"/>
    </row>
    <row r="131" spans="16:16" x14ac:dyDescent="0.25">
      <c r="P131" s="88"/>
    </row>
    <row r="132" spans="16:16" x14ac:dyDescent="0.25">
      <c r="P132" s="88"/>
    </row>
    <row r="133" spans="16:16" x14ac:dyDescent="0.25">
      <c r="P133" s="88"/>
    </row>
  </sheetData>
  <mergeCells count="4">
    <mergeCell ref="A1:N1"/>
    <mergeCell ref="A2:N2"/>
    <mergeCell ref="A3:N3"/>
    <mergeCell ref="B4:J4"/>
  </mergeCells>
  <pageMargins left="0.7" right="0.7" top="0.33" bottom="0.53" header="0.33" footer="0.51180555555555596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2"/>
    <pageSetUpPr fitToPage="1"/>
  </sheetPr>
  <dimension ref="E1:V51"/>
  <sheetViews>
    <sheetView topLeftCell="E4" zoomScale="85" zoomScaleNormal="85" workbookViewId="0">
      <pane xSplit="5" ySplit="6" topLeftCell="P23" activePane="bottomRight" state="frozen"/>
      <selection activeCell="B33" sqref="B14:F33"/>
      <selection pane="topRight" activeCell="B33" sqref="B14:F33"/>
      <selection pane="bottomLeft" activeCell="B33" sqref="B14:F33"/>
      <selection pane="bottomRight" activeCell="W45" sqref="W45"/>
    </sheetView>
  </sheetViews>
  <sheetFormatPr defaultColWidth="9.109375" defaultRowHeight="13.2" x14ac:dyDescent="0.25"/>
  <cols>
    <col min="1" max="4" width="0" hidden="1" customWidth="1"/>
    <col min="5" max="5" width="2.44140625" customWidth="1"/>
    <col min="6" max="6" width="3.109375" customWidth="1"/>
    <col min="7" max="7" width="4.88671875" customWidth="1"/>
    <col min="8" max="8" width="12" customWidth="1"/>
    <col min="9" max="9" width="15.88671875" customWidth="1"/>
    <col min="10" max="22" width="10.6640625" customWidth="1"/>
  </cols>
  <sheetData>
    <row r="1" spans="5:22" x14ac:dyDescent="0.25">
      <c r="F1" s="139"/>
      <c r="G1" s="139"/>
      <c r="H1" s="139"/>
      <c r="I1" s="139"/>
      <c r="J1" s="139"/>
      <c r="K1" s="89"/>
    </row>
    <row r="2" spans="5:22" x14ac:dyDescent="0.25">
      <c r="F2" s="139"/>
      <c r="G2" s="3"/>
      <c r="H2" s="139"/>
      <c r="I2" s="139"/>
      <c r="K2" s="2"/>
    </row>
    <row r="3" spans="5:22" x14ac:dyDescent="0.25">
      <c r="E3" s="164" t="s">
        <v>20</v>
      </c>
      <c r="F3" s="162"/>
      <c r="G3" s="162"/>
      <c r="H3" s="162"/>
      <c r="I3" s="162"/>
      <c r="J3" s="162"/>
      <c r="K3" s="162"/>
      <c r="L3" s="162"/>
      <c r="M3" s="162"/>
    </row>
    <row r="4" spans="5:22" x14ac:dyDescent="0.25">
      <c r="E4" s="164" t="s">
        <v>133</v>
      </c>
      <c r="F4" s="162"/>
      <c r="G4" s="162"/>
      <c r="H4" s="162"/>
      <c r="I4" s="162"/>
      <c r="J4" s="162"/>
      <c r="K4" s="162"/>
      <c r="L4" s="162"/>
      <c r="M4" s="162"/>
    </row>
    <row r="5" spans="5:22" x14ac:dyDescent="0.25">
      <c r="E5" s="164"/>
      <c r="F5" s="162"/>
      <c r="G5" s="162"/>
      <c r="H5" s="162"/>
      <c r="I5" s="162"/>
      <c r="J5" s="162"/>
      <c r="K5" s="162"/>
      <c r="L5" s="162"/>
      <c r="M5" s="162"/>
    </row>
    <row r="6" spans="5:22" ht="14.4" hidden="1" x14ac:dyDescent="0.35">
      <c r="E6" s="129"/>
      <c r="F6" s="128"/>
      <c r="G6" s="128"/>
      <c r="H6" s="128"/>
      <c r="I6" s="128"/>
      <c r="J6" s="140" t="s">
        <v>18</v>
      </c>
      <c r="K6" s="140" t="s">
        <v>19</v>
      </c>
      <c r="L6" s="141">
        <v>39934</v>
      </c>
      <c r="M6" s="141">
        <v>39934</v>
      </c>
    </row>
    <row r="7" spans="5:22" x14ac:dyDescent="0.25">
      <c r="E7" s="90"/>
      <c r="J7" s="137"/>
    </row>
    <row r="8" spans="5:22" x14ac:dyDescent="0.25">
      <c r="J8" s="165"/>
      <c r="K8" s="166"/>
      <c r="L8" s="166"/>
      <c r="M8" s="166"/>
    </row>
    <row r="9" spans="5:22" x14ac:dyDescent="0.25">
      <c r="F9" s="139" t="s">
        <v>0</v>
      </c>
      <c r="G9" s="139"/>
      <c r="H9" s="142"/>
      <c r="I9" s="142"/>
      <c r="J9" s="143" t="s">
        <v>187</v>
      </c>
      <c r="K9" s="143" t="s">
        <v>52</v>
      </c>
      <c r="L9" s="143" t="s">
        <v>53</v>
      </c>
      <c r="M9" s="143" t="s">
        <v>54</v>
      </c>
      <c r="N9" s="143" t="s">
        <v>55</v>
      </c>
      <c r="O9" s="143" t="s">
        <v>56</v>
      </c>
      <c r="P9" s="143" t="s">
        <v>57</v>
      </c>
      <c r="Q9" s="143" t="s">
        <v>58</v>
      </c>
      <c r="R9" s="143" t="s">
        <v>59</v>
      </c>
      <c r="S9" s="143" t="s">
        <v>60</v>
      </c>
      <c r="T9" s="143" t="s">
        <v>61</v>
      </c>
      <c r="U9" s="143" t="s">
        <v>62</v>
      </c>
      <c r="V9" s="143" t="s">
        <v>51</v>
      </c>
    </row>
    <row r="10" spans="5:22" x14ac:dyDescent="0.25">
      <c r="F10" s="139"/>
      <c r="G10" s="139" t="s">
        <v>1</v>
      </c>
      <c r="H10" s="139"/>
      <c r="I10" s="139"/>
      <c r="J10" s="144"/>
      <c r="K10" s="139"/>
      <c r="L10" s="139"/>
      <c r="M10" s="139"/>
    </row>
    <row r="11" spans="5:22" x14ac:dyDescent="0.25">
      <c r="F11" s="1"/>
      <c r="G11" s="145" t="s">
        <v>2</v>
      </c>
      <c r="H11" s="1"/>
      <c r="I11" s="1"/>
      <c r="J11" s="91"/>
      <c r="K11" s="36"/>
      <c r="L11" s="36"/>
      <c r="M11" s="36"/>
      <c r="N11" s="2"/>
    </row>
    <row r="12" spans="5:22" s="4" customFormat="1" x14ac:dyDescent="0.25">
      <c r="F12" s="1"/>
      <c r="G12" s="145"/>
      <c r="H12" s="1" t="s">
        <v>21</v>
      </c>
      <c r="I12" s="1"/>
      <c r="J12" s="36">
        <v>17167</v>
      </c>
      <c r="K12" s="36">
        <v>13000</v>
      </c>
      <c r="L12" s="36">
        <v>40000</v>
      </c>
      <c r="M12" s="36">
        <v>28000</v>
      </c>
      <c r="N12" s="36">
        <v>25000</v>
      </c>
      <c r="O12" s="36">
        <v>19000</v>
      </c>
      <c r="P12" s="36">
        <v>13000</v>
      </c>
      <c r="Q12" s="36">
        <v>22000</v>
      </c>
      <c r="R12" s="36">
        <v>22000</v>
      </c>
      <c r="S12" s="36">
        <v>20000</v>
      </c>
      <c r="T12" s="36">
        <v>19000</v>
      </c>
      <c r="U12" s="36">
        <v>21000</v>
      </c>
      <c r="V12" s="36">
        <v>16000</v>
      </c>
    </row>
    <row r="13" spans="5:22" s="4" customFormat="1" x14ac:dyDescent="0.25">
      <c r="F13" s="1"/>
      <c r="G13" s="145"/>
      <c r="H13" s="1" t="s">
        <v>22</v>
      </c>
      <c r="I13" s="1"/>
      <c r="J13" s="36">
        <v>70000</v>
      </c>
      <c r="K13" s="36">
        <v>70000</v>
      </c>
      <c r="L13" s="36">
        <v>70000</v>
      </c>
      <c r="M13" s="36">
        <v>70000</v>
      </c>
      <c r="N13" s="36">
        <v>70000</v>
      </c>
      <c r="O13" s="36">
        <v>70000</v>
      </c>
      <c r="P13" s="36">
        <v>70000</v>
      </c>
      <c r="Q13" s="36">
        <v>70000</v>
      </c>
      <c r="R13" s="36">
        <v>70000</v>
      </c>
      <c r="S13" s="36">
        <v>70000</v>
      </c>
      <c r="T13" s="36">
        <v>70000</v>
      </c>
      <c r="U13" s="36">
        <v>70000</v>
      </c>
      <c r="V13" s="36">
        <v>70000</v>
      </c>
    </row>
    <row r="14" spans="5:22" x14ac:dyDescent="0.25">
      <c r="F14" s="1"/>
      <c r="G14" s="145"/>
      <c r="H14" s="1" t="s">
        <v>142</v>
      </c>
      <c r="I14" s="1"/>
      <c r="J14" s="36">
        <v>14699</v>
      </c>
      <c r="K14" s="36">
        <v>22000</v>
      </c>
      <c r="L14" s="36">
        <v>4000</v>
      </c>
      <c r="M14" s="36">
        <v>3800</v>
      </c>
      <c r="N14" s="146">
        <v>3500</v>
      </c>
      <c r="O14" s="146">
        <v>3200</v>
      </c>
      <c r="P14" s="36">
        <v>3000</v>
      </c>
      <c r="Q14" s="36">
        <v>7000</v>
      </c>
      <c r="R14" s="36">
        <v>10000</v>
      </c>
      <c r="S14" s="36">
        <v>14200</v>
      </c>
      <c r="T14" s="36">
        <v>15500</v>
      </c>
      <c r="U14" s="36">
        <v>19300</v>
      </c>
      <c r="V14" s="36">
        <v>54200</v>
      </c>
    </row>
    <row r="15" spans="5:22" x14ac:dyDescent="0.25">
      <c r="F15" s="1"/>
      <c r="G15" s="145"/>
      <c r="H15" s="1" t="s">
        <v>124</v>
      </c>
      <c r="I15" s="1"/>
      <c r="J15" s="36">
        <v>4438</v>
      </c>
      <c r="K15" s="36">
        <v>4438</v>
      </c>
      <c r="L15" s="36">
        <v>4438</v>
      </c>
      <c r="M15" s="36">
        <v>4438</v>
      </c>
      <c r="N15" s="146">
        <v>4438</v>
      </c>
      <c r="O15" s="146">
        <v>4438</v>
      </c>
      <c r="P15" s="36">
        <v>4438</v>
      </c>
      <c r="Q15" s="36">
        <v>4438</v>
      </c>
      <c r="R15" s="36">
        <v>4438</v>
      </c>
      <c r="S15" s="36">
        <v>4438</v>
      </c>
      <c r="T15" s="36">
        <v>4438</v>
      </c>
      <c r="U15" s="36">
        <v>4438</v>
      </c>
      <c r="V15" s="36">
        <v>4438</v>
      </c>
    </row>
    <row r="16" spans="5:22" x14ac:dyDescent="0.25">
      <c r="F16" s="1"/>
      <c r="G16" s="145"/>
      <c r="H16" s="1" t="s">
        <v>136</v>
      </c>
      <c r="I16" s="1"/>
      <c r="J16" s="36">
        <v>1721</v>
      </c>
      <c r="K16" s="36">
        <v>1721</v>
      </c>
      <c r="L16" s="36">
        <v>1721</v>
      </c>
      <c r="M16" s="36">
        <v>1721</v>
      </c>
      <c r="N16" s="146">
        <v>1721</v>
      </c>
      <c r="O16" s="146">
        <v>1721</v>
      </c>
      <c r="P16" s="36">
        <v>1721</v>
      </c>
      <c r="Q16" s="36">
        <v>1721</v>
      </c>
      <c r="R16" s="36">
        <v>1721</v>
      </c>
      <c r="S16" s="36">
        <v>1721</v>
      </c>
      <c r="T16" s="36">
        <v>1721</v>
      </c>
      <c r="U16" s="36">
        <v>1721</v>
      </c>
      <c r="V16" s="36">
        <v>1721</v>
      </c>
    </row>
    <row r="17" spans="5:22" x14ac:dyDescent="0.25">
      <c r="F17" s="1"/>
      <c r="G17" s="145"/>
      <c r="H17" s="1" t="s">
        <v>138</v>
      </c>
      <c r="I17" s="1"/>
      <c r="J17" s="36">
        <v>35501</v>
      </c>
      <c r="K17" s="36">
        <f>SUM(J17+'Income Statement'!B15-'Income Statement'!B53)</f>
        <v>28689</v>
      </c>
      <c r="L17" s="36">
        <f>SUM(K17+'Income Statement'!C15-'Income Statement'!C53)</f>
        <v>28827</v>
      </c>
      <c r="M17" s="36">
        <f>SUM(L17+'Income Statement'!D15-'Income Statement'!D53)</f>
        <v>30540</v>
      </c>
      <c r="N17" s="36">
        <f>SUM(M17+'Income Statement'!E15-'Income Statement'!E53-5000)</f>
        <v>31178</v>
      </c>
      <c r="O17" s="36">
        <f>SUM(N17+'Income Statement'!F15-'Income Statement'!F53)</f>
        <v>29166</v>
      </c>
      <c r="P17" s="36">
        <f>SUM(O17+'Income Statement'!G15-'Income Statement'!G53)</f>
        <v>32854</v>
      </c>
      <c r="Q17" s="36">
        <f>SUM(P17+'Income Statement'!H15-'Income Statement'!H53)</f>
        <v>31842</v>
      </c>
      <c r="R17" s="36">
        <f>SUM(Q17+'Income Statement'!I15-'Income Statement'!I53)</f>
        <v>45830</v>
      </c>
      <c r="S17" s="36">
        <f>SUM(R17+'Income Statement'!J15-'Income Statement'!J53)</f>
        <v>39768</v>
      </c>
      <c r="T17" s="36">
        <f>SUM(S17+'Income Statement'!K15-'Income Statement'!K53)</f>
        <v>39768</v>
      </c>
      <c r="U17" s="36">
        <f>SUM(T17+'Income Statement'!L15-'Income Statement'!L53)</f>
        <v>39768</v>
      </c>
      <c r="V17" s="36">
        <f>SUM(U17+'Income Statement'!M15-'Income Statement'!M53)</f>
        <v>39768</v>
      </c>
    </row>
    <row r="18" spans="5:22" x14ac:dyDescent="0.25">
      <c r="F18" s="1"/>
      <c r="G18" s="145"/>
      <c r="H18" s="1" t="s">
        <v>141</v>
      </c>
      <c r="I18" s="1"/>
      <c r="J18" s="36">
        <v>7417</v>
      </c>
      <c r="K18" s="36">
        <v>7417</v>
      </c>
      <c r="L18" s="36">
        <v>7417</v>
      </c>
      <c r="M18" s="36">
        <v>6417</v>
      </c>
      <c r="N18" s="146">
        <v>6417</v>
      </c>
      <c r="O18" s="146">
        <v>6417</v>
      </c>
      <c r="P18" s="36">
        <v>6417</v>
      </c>
      <c r="Q18" s="36">
        <v>6417</v>
      </c>
      <c r="R18" s="36">
        <v>6417</v>
      </c>
      <c r="S18" s="36">
        <v>6417</v>
      </c>
      <c r="T18" s="36">
        <v>6417</v>
      </c>
      <c r="U18" s="36">
        <v>6417</v>
      </c>
      <c r="V18" s="36">
        <v>6417</v>
      </c>
    </row>
    <row r="19" spans="5:22" ht="15" x14ac:dyDescent="0.4">
      <c r="F19" s="1"/>
      <c r="G19" s="145"/>
      <c r="H19" s="1" t="s">
        <v>23</v>
      </c>
      <c r="I19" s="1"/>
      <c r="J19" s="92">
        <v>238075</v>
      </c>
      <c r="K19" s="92">
        <f t="shared" ref="K19:V19" si="0">SUM(K20-K12-K13-K14-K15-K16-K17-K18)</f>
        <v>276178.53000000003</v>
      </c>
      <c r="L19" s="92">
        <f t="shared" si="0"/>
        <v>282002.53000000003</v>
      </c>
      <c r="M19" s="92">
        <f t="shared" si="0"/>
        <v>268441.53000000003</v>
      </c>
      <c r="N19" s="92">
        <f t="shared" si="0"/>
        <v>295162.53000000003</v>
      </c>
      <c r="O19" s="92">
        <f t="shared" si="0"/>
        <v>302428.53000000003</v>
      </c>
      <c r="P19" s="92">
        <f t="shared" si="0"/>
        <v>283765.53000000003</v>
      </c>
      <c r="Q19" s="92">
        <f t="shared" si="0"/>
        <v>288844.53000000003</v>
      </c>
      <c r="R19" s="92">
        <f t="shared" si="0"/>
        <v>331275.53000000003</v>
      </c>
      <c r="S19" s="92">
        <f t="shared" si="0"/>
        <v>308041.53000000003</v>
      </c>
      <c r="T19" s="92">
        <f t="shared" si="0"/>
        <v>294825.53000000003</v>
      </c>
      <c r="U19" s="92">
        <f t="shared" si="0"/>
        <v>271911.53000000003</v>
      </c>
      <c r="V19" s="92">
        <f t="shared" si="0"/>
        <v>307967.53000000003</v>
      </c>
    </row>
    <row r="20" spans="5:22" x14ac:dyDescent="0.25">
      <c r="F20" s="1"/>
      <c r="G20" s="145"/>
      <c r="H20" s="1" t="s">
        <v>24</v>
      </c>
      <c r="I20" s="1"/>
      <c r="J20" s="36">
        <f>SUM(J12:J19)</f>
        <v>389018</v>
      </c>
      <c r="K20" s="36">
        <f>CF!G33</f>
        <v>423443.53</v>
      </c>
      <c r="L20" s="36">
        <f>CF!H33</f>
        <v>438405.53</v>
      </c>
      <c r="M20" s="36">
        <f>CF!I33</f>
        <v>413357.53</v>
      </c>
      <c r="N20" s="36">
        <f>CF!J33</f>
        <v>437416.53</v>
      </c>
      <c r="O20" s="36">
        <f>CF!K33</f>
        <v>436370.53</v>
      </c>
      <c r="P20" s="36">
        <f>CF!L33</f>
        <v>415195.53</v>
      </c>
      <c r="Q20" s="36">
        <f>CF!M33</f>
        <v>432262.53</v>
      </c>
      <c r="R20" s="36">
        <f>CF!N33</f>
        <v>491681.53</v>
      </c>
      <c r="S20" s="36">
        <f>CF!O33</f>
        <v>464585.53</v>
      </c>
      <c r="T20" s="36">
        <f>CF!P33</f>
        <v>451669.53</v>
      </c>
      <c r="U20" s="36">
        <f>CF!Q33</f>
        <v>434555.53</v>
      </c>
      <c r="V20" s="36">
        <f>CF!R33</f>
        <v>500511.53</v>
      </c>
    </row>
    <row r="21" spans="5:22" x14ac:dyDescent="0.25">
      <c r="E21" s="93"/>
      <c r="F21" s="1"/>
      <c r="G21" s="145" t="s">
        <v>29</v>
      </c>
      <c r="H21" s="1"/>
      <c r="I21" s="1"/>
      <c r="J21" s="36">
        <v>746</v>
      </c>
      <c r="K21" s="36">
        <f>SUM('BS wrksht'!C17)</f>
        <v>1000</v>
      </c>
      <c r="L21" s="36">
        <f>SUM('BS wrksht'!D17)</f>
        <v>2000</v>
      </c>
      <c r="M21" s="36">
        <f>SUM('BS wrksht'!E17)</f>
        <v>1000</v>
      </c>
      <c r="N21" s="36">
        <f>SUM('BS wrksht'!F17)</f>
        <v>4000</v>
      </c>
      <c r="O21" s="36">
        <f>SUM('BS wrksht'!G17)</f>
        <v>4000</v>
      </c>
      <c r="P21" s="36">
        <f>SUM('BS wrksht'!H17)</f>
        <v>3000</v>
      </c>
      <c r="Q21" s="36">
        <f>SUM('BS wrksht'!I17)</f>
        <v>3000</v>
      </c>
      <c r="R21" s="36">
        <f>SUM('BS wrksht'!J17)</f>
        <v>6000</v>
      </c>
      <c r="S21" s="36">
        <f>SUM('BS wrksht'!K17)</f>
        <v>1000</v>
      </c>
      <c r="T21" s="36">
        <f>SUM('BS wrksht'!L17)</f>
        <v>1000</v>
      </c>
      <c r="U21" s="36">
        <f>SUM('BS wrksht'!M17)</f>
        <v>1000</v>
      </c>
      <c r="V21" s="36">
        <f>SUM('BS wrksht'!N17)</f>
        <v>0</v>
      </c>
    </row>
    <row r="22" spans="5:22" x14ac:dyDescent="0.25">
      <c r="E22" s="93"/>
      <c r="F22" s="1"/>
      <c r="G22" s="145" t="s">
        <v>30</v>
      </c>
      <c r="H22" s="1"/>
      <c r="I22" s="1"/>
      <c r="J22" s="36">
        <v>43037</v>
      </c>
      <c r="K22" s="36">
        <f>SUM('BS wrksht'!C12)</f>
        <v>48201.53</v>
      </c>
      <c r="L22" s="36">
        <f>SUM('BS wrksht'!D12)</f>
        <v>54466.53</v>
      </c>
      <c r="M22" s="36">
        <f>SUM('BS wrksht'!E12)</f>
        <v>27381.53</v>
      </c>
      <c r="N22" s="36">
        <f>SUM('BS wrksht'!F12)</f>
        <v>29211.53</v>
      </c>
      <c r="O22" s="36">
        <f>SUM('BS wrksht'!G12)</f>
        <v>30491.53</v>
      </c>
      <c r="P22" s="36">
        <f>SUM('BS wrksht'!H12)</f>
        <v>30941.53</v>
      </c>
      <c r="Q22" s="36">
        <f>SUM('BS wrksht'!I12)</f>
        <v>29471.53</v>
      </c>
      <c r="R22" s="36">
        <f>SUM('BS wrksht'!J12)</f>
        <v>33056.53</v>
      </c>
      <c r="S22" s="36">
        <f>SUM('BS wrksht'!K12)</f>
        <v>17301.53</v>
      </c>
      <c r="T22" s="36">
        <f>SUM('BS wrksht'!L12)</f>
        <v>20146.53</v>
      </c>
      <c r="U22" s="36">
        <f>SUM('BS wrksht'!M12)</f>
        <v>21596.53</v>
      </c>
      <c r="V22" s="36">
        <f>SUM('BS wrksht'!N12)</f>
        <v>18836.53</v>
      </c>
    </row>
    <row r="23" spans="5:22" s="4" customFormat="1" x14ac:dyDescent="0.25">
      <c r="E23" s="93"/>
      <c r="F23" s="1"/>
      <c r="G23" s="145" t="s">
        <v>25</v>
      </c>
      <c r="H23" s="1"/>
      <c r="I23" s="1"/>
      <c r="J23" s="36">
        <v>35897</v>
      </c>
      <c r="K23" s="36">
        <f>SUM('BS wrksht'!C23)</f>
        <v>36896.589999999997</v>
      </c>
      <c r="L23" s="36">
        <f>SUM('BS wrksht'!D23)</f>
        <v>37896.589999999997</v>
      </c>
      <c r="M23" s="36">
        <f>SUM('BS wrksht'!E23)</f>
        <v>36896.589999999997</v>
      </c>
      <c r="N23" s="36">
        <f>SUM('BS wrksht'!F23)</f>
        <v>39896.589999999997</v>
      </c>
      <c r="O23" s="36">
        <f>SUM('BS wrksht'!G23)</f>
        <v>39896.589999999997</v>
      </c>
      <c r="P23" s="36">
        <f>SUM('BS wrksht'!H23)</f>
        <v>38896.589999999997</v>
      </c>
      <c r="Q23" s="36">
        <f>SUM('BS wrksht'!I23)</f>
        <v>38896.589999999997</v>
      </c>
      <c r="R23" s="36">
        <f>SUM('BS wrksht'!J23)</f>
        <v>41896.589999999997</v>
      </c>
      <c r="S23" s="36">
        <f>SUM('BS wrksht'!K23)</f>
        <v>36896.589999999997</v>
      </c>
      <c r="T23" s="36">
        <f>SUM('BS wrksht'!L23)</f>
        <v>36896.589999999997</v>
      </c>
      <c r="U23" s="36">
        <f>SUM('BS wrksht'!M23)</f>
        <v>36896.589999999997</v>
      </c>
      <c r="V23" s="36">
        <f>SUM('BS wrksht'!N23)</f>
        <v>35896.589999999997</v>
      </c>
    </row>
    <row r="24" spans="5:22" x14ac:dyDescent="0.25">
      <c r="E24" s="4"/>
      <c r="F24" s="1"/>
      <c r="G24" s="145" t="s">
        <v>3</v>
      </c>
      <c r="H24" s="1"/>
      <c r="I24" s="1"/>
      <c r="J24" s="36">
        <v>12194</v>
      </c>
      <c r="K24" s="36">
        <v>13000</v>
      </c>
      <c r="L24" s="36">
        <v>14600</v>
      </c>
      <c r="M24" s="36">
        <v>16200</v>
      </c>
      <c r="N24" s="36">
        <v>15800</v>
      </c>
      <c r="O24" s="36">
        <v>15400</v>
      </c>
      <c r="P24" s="36">
        <v>21400</v>
      </c>
      <c r="Q24" s="36">
        <v>20600</v>
      </c>
      <c r="R24" s="36">
        <v>19000</v>
      </c>
      <c r="S24" s="36">
        <v>17000</v>
      </c>
      <c r="T24" s="36">
        <v>15000</v>
      </c>
      <c r="U24" s="36">
        <v>14500</v>
      </c>
      <c r="V24" s="36">
        <v>13000</v>
      </c>
    </row>
    <row r="25" spans="5:22" x14ac:dyDescent="0.25">
      <c r="F25" s="1"/>
      <c r="G25" s="145" t="s">
        <v>26</v>
      </c>
      <c r="H25" s="1"/>
      <c r="I25" s="1"/>
      <c r="J25" s="36">
        <v>24839</v>
      </c>
      <c r="K25" s="91">
        <v>0</v>
      </c>
      <c r="L25" s="91">
        <v>0</v>
      </c>
      <c r="M25" s="91">
        <v>0</v>
      </c>
      <c r="N25" s="91">
        <v>0</v>
      </c>
      <c r="O25" s="91">
        <v>0</v>
      </c>
      <c r="P25" s="91">
        <v>0</v>
      </c>
      <c r="Q25" s="91">
        <v>0</v>
      </c>
      <c r="R25" s="91">
        <v>0</v>
      </c>
      <c r="S25" s="91">
        <v>0</v>
      </c>
      <c r="T25" s="91">
        <v>0</v>
      </c>
      <c r="U25" s="91">
        <v>0</v>
      </c>
      <c r="V25" s="91">
        <v>0</v>
      </c>
    </row>
    <row r="26" spans="5:22" ht="11.25" customHeight="1" x14ac:dyDescent="0.25">
      <c r="G26" s="139" t="s">
        <v>4</v>
      </c>
      <c r="H26" s="139"/>
      <c r="I26" s="139"/>
      <c r="J26" s="94">
        <f>SUM(J20:J25)</f>
        <v>505731</v>
      </c>
      <c r="K26" s="94">
        <f>SUM(K20:K25)</f>
        <v>522541.65</v>
      </c>
      <c r="L26" s="94">
        <f t="shared" ref="L26:V26" si="1">SUM(L20:L25)</f>
        <v>547368.65</v>
      </c>
      <c r="M26" s="94">
        <f t="shared" si="1"/>
        <v>494835.65</v>
      </c>
      <c r="N26" s="94">
        <f t="shared" si="1"/>
        <v>526324.65</v>
      </c>
      <c r="O26" s="94">
        <f t="shared" si="1"/>
        <v>526158.65</v>
      </c>
      <c r="P26" s="94">
        <f t="shared" si="1"/>
        <v>509433.65</v>
      </c>
      <c r="Q26" s="94">
        <f t="shared" si="1"/>
        <v>524230.65</v>
      </c>
      <c r="R26" s="94">
        <f t="shared" si="1"/>
        <v>591634.65</v>
      </c>
      <c r="S26" s="94">
        <f t="shared" si="1"/>
        <v>536783.65</v>
      </c>
      <c r="T26" s="94">
        <f t="shared" si="1"/>
        <v>524712.65</v>
      </c>
      <c r="U26" s="94">
        <f t="shared" si="1"/>
        <v>508548.65</v>
      </c>
      <c r="V26" s="94">
        <f t="shared" si="1"/>
        <v>568244.65</v>
      </c>
    </row>
    <row r="27" spans="5:22" x14ac:dyDescent="0.25">
      <c r="G27" s="139"/>
      <c r="H27" s="139"/>
      <c r="I27" s="139"/>
      <c r="J27" s="95"/>
      <c r="K27" s="96"/>
      <c r="L27" s="96"/>
      <c r="M27" s="96"/>
      <c r="N27" s="137"/>
      <c r="O27" s="137"/>
      <c r="P27" s="137"/>
      <c r="Q27" s="137"/>
      <c r="R27" s="137"/>
      <c r="S27" s="137"/>
      <c r="T27" s="137"/>
      <c r="U27" s="137"/>
      <c r="V27" s="137"/>
    </row>
    <row r="28" spans="5:22" x14ac:dyDescent="0.25">
      <c r="F28" s="147"/>
      <c r="G28" s="139" t="s">
        <v>5</v>
      </c>
      <c r="H28" s="1"/>
      <c r="I28" s="1"/>
      <c r="J28" s="95"/>
      <c r="K28" s="96"/>
      <c r="L28" s="96"/>
      <c r="M28" s="96"/>
      <c r="N28" s="137"/>
      <c r="O28" s="137"/>
      <c r="P28" s="137"/>
      <c r="Q28" s="137"/>
      <c r="R28" s="137"/>
      <c r="S28" s="137"/>
      <c r="T28" s="137"/>
      <c r="U28" s="137"/>
      <c r="V28" s="137"/>
    </row>
    <row r="29" spans="5:22" x14ac:dyDescent="0.25">
      <c r="F29" s="1"/>
      <c r="G29" s="1" t="s">
        <v>6</v>
      </c>
      <c r="H29" s="1"/>
      <c r="I29" s="1"/>
      <c r="J29" s="36">
        <v>147759.45000000001</v>
      </c>
      <c r="K29" s="36">
        <v>147759</v>
      </c>
      <c r="L29" s="36">
        <v>147759</v>
      </c>
      <c r="M29" s="36">
        <v>147759</v>
      </c>
      <c r="N29" s="36">
        <v>147759</v>
      </c>
      <c r="O29" s="36">
        <v>147759</v>
      </c>
      <c r="P29" s="36">
        <v>147759</v>
      </c>
      <c r="Q29" s="36">
        <v>147759</v>
      </c>
      <c r="R29" s="36">
        <v>147759</v>
      </c>
      <c r="S29" s="36">
        <v>147759</v>
      </c>
      <c r="T29" s="36">
        <v>147759</v>
      </c>
      <c r="U29" s="36">
        <v>147759</v>
      </c>
      <c r="V29" s="36">
        <v>147759</v>
      </c>
    </row>
    <row r="30" spans="5:22" s="4" customFormat="1" x14ac:dyDescent="0.25">
      <c r="E30"/>
      <c r="F30" s="1"/>
      <c r="G30" s="1" t="s">
        <v>7</v>
      </c>
      <c r="H30" s="1"/>
      <c r="I30" s="1"/>
      <c r="J30" s="36">
        <v>-15056.2</v>
      </c>
      <c r="K30" s="36">
        <v>-15056</v>
      </c>
      <c r="L30" s="36">
        <v>-15056</v>
      </c>
      <c r="M30" s="36">
        <v>-15056</v>
      </c>
      <c r="N30" s="36">
        <v>-15056</v>
      </c>
      <c r="O30" s="36">
        <v>-15056</v>
      </c>
      <c r="P30" s="36">
        <v>-15056</v>
      </c>
      <c r="Q30" s="36">
        <v>-15056</v>
      </c>
      <c r="R30" s="36">
        <v>-15056</v>
      </c>
      <c r="S30" s="36">
        <v>-15056</v>
      </c>
      <c r="T30" s="36">
        <v>-15056</v>
      </c>
      <c r="U30" s="36">
        <v>-15056</v>
      </c>
      <c r="V30" s="36">
        <v>-15056</v>
      </c>
    </row>
    <row r="31" spans="5:22" ht="16.8" customHeight="1" x14ac:dyDescent="0.25">
      <c r="E31" s="4"/>
      <c r="F31" s="4"/>
      <c r="G31" s="3" t="s">
        <v>8</v>
      </c>
      <c r="H31" s="3"/>
      <c r="I31" s="3"/>
      <c r="J31" s="97">
        <f>SUM(J29:J30)</f>
        <v>132703.25</v>
      </c>
      <c r="K31" s="97">
        <f>SUM(K29:K30)</f>
        <v>132703</v>
      </c>
      <c r="L31" s="97">
        <f t="shared" ref="L31:V31" si="2">SUM(L29:L30)</f>
        <v>132703</v>
      </c>
      <c r="M31" s="97">
        <f t="shared" si="2"/>
        <v>132703</v>
      </c>
      <c r="N31" s="97">
        <f t="shared" si="2"/>
        <v>132703</v>
      </c>
      <c r="O31" s="97">
        <f t="shared" si="2"/>
        <v>132703</v>
      </c>
      <c r="P31" s="97">
        <f t="shared" si="2"/>
        <v>132703</v>
      </c>
      <c r="Q31" s="97">
        <f t="shared" si="2"/>
        <v>132703</v>
      </c>
      <c r="R31" s="97">
        <f t="shared" si="2"/>
        <v>132703</v>
      </c>
      <c r="S31" s="97">
        <f t="shared" si="2"/>
        <v>132703</v>
      </c>
      <c r="T31" s="97">
        <f t="shared" si="2"/>
        <v>132703</v>
      </c>
      <c r="U31" s="97">
        <f t="shared" si="2"/>
        <v>132703</v>
      </c>
      <c r="V31" s="97">
        <f t="shared" si="2"/>
        <v>132703</v>
      </c>
    </row>
    <row r="32" spans="5:22" s="4" customFormat="1" x14ac:dyDescent="0.25">
      <c r="E32"/>
      <c r="F32"/>
      <c r="G32" s="139"/>
      <c r="H32" s="139"/>
      <c r="I32" s="139"/>
      <c r="J32" s="14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</row>
    <row r="33" spans="5:22" x14ac:dyDescent="0.25">
      <c r="E33" s="4"/>
      <c r="F33" s="1"/>
      <c r="G33" s="145" t="s">
        <v>27</v>
      </c>
      <c r="H33" s="1"/>
      <c r="I33" s="1"/>
      <c r="J33" s="36">
        <v>44580</v>
      </c>
      <c r="K33" s="36">
        <v>45000</v>
      </c>
      <c r="L33" s="36">
        <v>45000</v>
      </c>
      <c r="M33" s="36">
        <v>45000</v>
      </c>
      <c r="N33" s="36">
        <v>45000</v>
      </c>
      <c r="O33" s="36">
        <v>45000</v>
      </c>
      <c r="P33" s="36">
        <v>45000</v>
      </c>
      <c r="Q33" s="36">
        <v>45000</v>
      </c>
      <c r="R33" s="36">
        <v>45000</v>
      </c>
      <c r="S33" s="36">
        <v>45000</v>
      </c>
      <c r="T33" s="36">
        <v>45000</v>
      </c>
      <c r="U33" s="36">
        <v>45000</v>
      </c>
      <c r="V33" s="36">
        <v>45000</v>
      </c>
    </row>
    <row r="34" spans="5:22" ht="13.8" thickBot="1" x14ac:dyDescent="0.3">
      <c r="G34" s="139" t="s">
        <v>9</v>
      </c>
      <c r="H34" s="139"/>
      <c r="I34" s="139"/>
      <c r="J34" s="99">
        <f>J26+J31+J33</f>
        <v>683014.25</v>
      </c>
      <c r="K34" s="99">
        <f>K26+K31+K33</f>
        <v>700244.65</v>
      </c>
      <c r="L34" s="99">
        <f t="shared" ref="L34:V34" si="3">L26+L31+L33</f>
        <v>725071.65</v>
      </c>
      <c r="M34" s="99">
        <f t="shared" si="3"/>
        <v>672538.65</v>
      </c>
      <c r="N34" s="99">
        <f t="shared" si="3"/>
        <v>704027.65</v>
      </c>
      <c r="O34" s="99">
        <f t="shared" si="3"/>
        <v>703861.65</v>
      </c>
      <c r="P34" s="99">
        <f t="shared" si="3"/>
        <v>687136.65</v>
      </c>
      <c r="Q34" s="99">
        <f t="shared" si="3"/>
        <v>701933.65</v>
      </c>
      <c r="R34" s="99">
        <f t="shared" si="3"/>
        <v>769337.65</v>
      </c>
      <c r="S34" s="99">
        <f t="shared" si="3"/>
        <v>714486.65</v>
      </c>
      <c r="T34" s="99">
        <f t="shared" si="3"/>
        <v>702415.65</v>
      </c>
      <c r="U34" s="99">
        <f t="shared" si="3"/>
        <v>686251.65</v>
      </c>
      <c r="V34" s="99">
        <f t="shared" si="3"/>
        <v>745947.65</v>
      </c>
    </row>
    <row r="35" spans="5:22" ht="13.8" thickTop="1" x14ac:dyDescent="0.25">
      <c r="F35" s="1"/>
      <c r="G35" s="1"/>
      <c r="H35" s="1"/>
      <c r="I35" s="1"/>
      <c r="J35" s="95"/>
      <c r="K35" s="96"/>
      <c r="L35" s="96"/>
      <c r="M35" s="96"/>
      <c r="N35" s="137"/>
      <c r="O35" s="137"/>
      <c r="P35" s="137"/>
      <c r="Q35" s="137"/>
      <c r="R35" s="137"/>
      <c r="S35" s="137"/>
      <c r="T35" s="137"/>
      <c r="U35" s="137"/>
      <c r="V35" s="137"/>
    </row>
    <row r="36" spans="5:22" x14ac:dyDescent="0.25">
      <c r="F36" s="139" t="s">
        <v>10</v>
      </c>
      <c r="G36" s="139"/>
      <c r="H36" s="139"/>
      <c r="I36" s="139"/>
      <c r="J36" s="149"/>
      <c r="K36" s="100"/>
      <c r="L36" s="100"/>
      <c r="M36" s="100"/>
      <c r="N36" s="137"/>
      <c r="O36" s="137"/>
      <c r="P36" s="137"/>
      <c r="Q36" s="137"/>
      <c r="R36" s="137"/>
      <c r="S36" s="137"/>
      <c r="T36" s="137"/>
      <c r="U36" s="137"/>
      <c r="V36" s="137"/>
    </row>
    <row r="37" spans="5:22" s="4" customFormat="1" x14ac:dyDescent="0.25">
      <c r="E37"/>
      <c r="F37"/>
      <c r="G37" s="139" t="s">
        <v>11</v>
      </c>
      <c r="H37" s="139"/>
      <c r="I37" s="139"/>
      <c r="J37" s="36"/>
      <c r="K37" s="91"/>
      <c r="L37" s="91"/>
      <c r="M37" s="91"/>
      <c r="N37" s="137"/>
      <c r="O37" s="137"/>
      <c r="P37" s="137"/>
      <c r="Q37" s="137"/>
      <c r="R37" s="137"/>
      <c r="S37" s="137"/>
      <c r="T37" s="137"/>
      <c r="U37" s="137"/>
      <c r="V37" s="137"/>
    </row>
    <row r="38" spans="5:22" x14ac:dyDescent="0.25">
      <c r="E38" s="4"/>
      <c r="F38" s="4"/>
      <c r="G38" s="145" t="s">
        <v>12</v>
      </c>
      <c r="H38" s="1"/>
      <c r="I38" s="1"/>
      <c r="J38" s="36">
        <v>5183</v>
      </c>
      <c r="K38" s="36">
        <f>SUM('BS wrksht'!C29)</f>
        <v>38295</v>
      </c>
      <c r="L38" s="36">
        <f>SUM('BS wrksht'!D29)</f>
        <v>36530</v>
      </c>
      <c r="M38" s="36">
        <f>SUM('BS wrksht'!E29)</f>
        <v>39313</v>
      </c>
      <c r="N38" s="36">
        <f>SUM('BS wrksht'!F29)</f>
        <v>27718</v>
      </c>
      <c r="O38" s="36">
        <f>SUM('BS wrksht'!G29)</f>
        <v>32077</v>
      </c>
      <c r="P38" s="36">
        <f>SUM('BS wrksht'!H29)</f>
        <v>29685</v>
      </c>
      <c r="Q38" s="36">
        <f>SUM('BS wrksht'!I29)</f>
        <v>28333</v>
      </c>
      <c r="R38" s="36">
        <f>SUM('BS wrksht'!J29)</f>
        <v>53628</v>
      </c>
      <c r="S38" s="36">
        <f>SUM('BS wrksht'!K29)</f>
        <v>25358</v>
      </c>
      <c r="T38" s="36">
        <f>SUM('BS wrksht'!L29)</f>
        <v>19091</v>
      </c>
      <c r="U38" s="36">
        <f>SUM('BS wrksht'!M29)</f>
        <v>18176</v>
      </c>
      <c r="V38" s="36">
        <f>SUM('BS wrksht'!N29)</f>
        <v>23111</v>
      </c>
    </row>
    <row r="39" spans="5:22" s="4" customFormat="1" x14ac:dyDescent="0.25">
      <c r="E39"/>
      <c r="F39"/>
      <c r="G39" s="145" t="s">
        <v>28</v>
      </c>
      <c r="H39" s="1"/>
      <c r="I39" s="1"/>
      <c r="J39" s="36">
        <v>14699</v>
      </c>
      <c r="K39" s="36">
        <v>22000</v>
      </c>
      <c r="L39" s="36">
        <v>4000</v>
      </c>
      <c r="M39" s="36">
        <v>3800</v>
      </c>
      <c r="N39" s="36">
        <v>3500</v>
      </c>
      <c r="O39" s="36">
        <v>3200</v>
      </c>
      <c r="P39" s="36">
        <v>3000</v>
      </c>
      <c r="Q39" s="36">
        <v>7000</v>
      </c>
      <c r="R39" s="36">
        <v>10000</v>
      </c>
      <c r="S39" s="36">
        <v>14200</v>
      </c>
      <c r="T39" s="36">
        <v>15500</v>
      </c>
      <c r="U39" s="36">
        <v>19300</v>
      </c>
      <c r="V39" s="36">
        <v>54200</v>
      </c>
    </row>
    <row r="40" spans="5:22" s="4" customFormat="1" x14ac:dyDescent="0.25">
      <c r="G40" s="145" t="s">
        <v>105</v>
      </c>
      <c r="H40" s="1"/>
      <c r="I40" s="1"/>
      <c r="J40" s="36">
        <v>17167</v>
      </c>
      <c r="K40" s="36">
        <v>13000</v>
      </c>
      <c r="L40" s="36">
        <v>40000</v>
      </c>
      <c r="M40" s="36">
        <v>28000</v>
      </c>
      <c r="N40" s="36">
        <v>25000</v>
      </c>
      <c r="O40" s="36">
        <v>19000</v>
      </c>
      <c r="P40" s="36">
        <v>13000</v>
      </c>
      <c r="Q40" s="36">
        <v>22000</v>
      </c>
      <c r="R40" s="36">
        <v>22000</v>
      </c>
      <c r="S40" s="36">
        <v>20000</v>
      </c>
      <c r="T40" s="36">
        <v>19000</v>
      </c>
      <c r="U40" s="36">
        <v>21000</v>
      </c>
      <c r="V40" s="36">
        <v>16000</v>
      </c>
    </row>
    <row r="41" spans="5:22" s="4" customFormat="1" x14ac:dyDescent="0.25">
      <c r="G41" s="145" t="s">
        <v>104</v>
      </c>
      <c r="H41" s="1"/>
      <c r="I41" s="1"/>
      <c r="J41" s="36">
        <v>-3069</v>
      </c>
      <c r="K41" s="36">
        <v>2000</v>
      </c>
      <c r="L41" s="36">
        <v>40000</v>
      </c>
      <c r="M41" s="36">
        <v>15000</v>
      </c>
      <c r="N41" s="36">
        <v>24000</v>
      </c>
      <c r="O41" s="36">
        <v>18000</v>
      </c>
      <c r="P41" s="36">
        <v>7000</v>
      </c>
      <c r="Q41" s="36">
        <v>24000</v>
      </c>
      <c r="R41" s="36">
        <v>41000</v>
      </c>
      <c r="S41" s="36">
        <v>29000</v>
      </c>
      <c r="T41" s="36">
        <v>23000</v>
      </c>
      <c r="U41" s="36">
        <v>7000</v>
      </c>
      <c r="V41" s="36">
        <v>100</v>
      </c>
    </row>
    <row r="42" spans="5:22" x14ac:dyDescent="0.25">
      <c r="E42" s="4"/>
      <c r="F42" s="4"/>
      <c r="G42" s="145" t="s">
        <v>31</v>
      </c>
      <c r="H42" s="1"/>
      <c r="I42" s="1"/>
      <c r="J42" s="36">
        <v>3072</v>
      </c>
      <c r="K42" s="36">
        <v>2800</v>
      </c>
      <c r="L42" s="36">
        <v>2800</v>
      </c>
      <c r="M42" s="36">
        <v>2800</v>
      </c>
      <c r="N42" s="36">
        <v>2800</v>
      </c>
      <c r="O42" s="36">
        <v>2800</v>
      </c>
      <c r="P42" s="36">
        <v>2800</v>
      </c>
      <c r="Q42" s="36">
        <v>2800</v>
      </c>
      <c r="R42" s="36">
        <v>2800</v>
      </c>
      <c r="S42" s="36">
        <v>2800</v>
      </c>
      <c r="T42" s="36">
        <v>2800</v>
      </c>
      <c r="U42" s="36">
        <v>2800</v>
      </c>
      <c r="V42" s="36">
        <v>2800</v>
      </c>
    </row>
    <row r="43" spans="5:22" x14ac:dyDescent="0.25">
      <c r="G43" s="139" t="s">
        <v>13</v>
      </c>
      <c r="H43" s="139"/>
      <c r="I43" s="139"/>
      <c r="J43" s="97">
        <f>SUM(J38:J42)</f>
        <v>37052</v>
      </c>
      <c r="K43" s="97">
        <f>SUM(K38:K42)</f>
        <v>78095</v>
      </c>
      <c r="L43" s="97">
        <f t="shared" ref="L43:V43" si="4">SUM(L38:L42)</f>
        <v>123330</v>
      </c>
      <c r="M43" s="97">
        <f t="shared" si="4"/>
        <v>88913</v>
      </c>
      <c r="N43" s="97">
        <f t="shared" si="4"/>
        <v>83018</v>
      </c>
      <c r="O43" s="97">
        <f t="shared" si="4"/>
        <v>75077</v>
      </c>
      <c r="P43" s="97">
        <f t="shared" si="4"/>
        <v>55485</v>
      </c>
      <c r="Q43" s="97">
        <f t="shared" si="4"/>
        <v>84133</v>
      </c>
      <c r="R43" s="97">
        <f t="shared" si="4"/>
        <v>129428</v>
      </c>
      <c r="S43" s="97">
        <f t="shared" si="4"/>
        <v>91358</v>
      </c>
      <c r="T43" s="97">
        <f t="shared" si="4"/>
        <v>79391</v>
      </c>
      <c r="U43" s="97">
        <f t="shared" si="4"/>
        <v>68276</v>
      </c>
      <c r="V43" s="97">
        <f t="shared" si="4"/>
        <v>96211</v>
      </c>
    </row>
    <row r="44" spans="5:22" x14ac:dyDescent="0.25">
      <c r="F44" s="139"/>
      <c r="G44" s="139" t="s">
        <v>14</v>
      </c>
      <c r="H44" s="139"/>
      <c r="I44" s="139"/>
      <c r="J44" s="95"/>
      <c r="K44" s="96"/>
      <c r="L44" s="96"/>
      <c r="M44" s="96"/>
      <c r="N44" s="137"/>
      <c r="O44" s="137"/>
      <c r="P44" s="137"/>
      <c r="Q44" s="137"/>
      <c r="R44" s="137"/>
      <c r="S44" s="137"/>
      <c r="T44" s="137"/>
      <c r="U44" s="137"/>
      <c r="V44" s="137"/>
    </row>
    <row r="45" spans="5:22" x14ac:dyDescent="0.25">
      <c r="G45" s="145" t="s">
        <v>32</v>
      </c>
      <c r="H45" s="1"/>
      <c r="I45" s="1"/>
      <c r="J45" s="36">
        <v>554500</v>
      </c>
      <c r="K45" s="36">
        <v>645962</v>
      </c>
      <c r="L45" s="36">
        <v>645962</v>
      </c>
      <c r="M45" s="36">
        <v>645965</v>
      </c>
      <c r="N45" s="36">
        <v>645962</v>
      </c>
      <c r="O45" s="36">
        <v>645962</v>
      </c>
      <c r="P45" s="36">
        <v>645962</v>
      </c>
      <c r="Q45" s="36">
        <v>645962</v>
      </c>
      <c r="R45" s="36">
        <v>645962</v>
      </c>
      <c r="S45" s="36">
        <v>645962</v>
      </c>
      <c r="T45" s="36">
        <v>645962</v>
      </c>
      <c r="U45" s="36">
        <v>645962</v>
      </c>
      <c r="V45" s="36">
        <v>645962</v>
      </c>
    </row>
    <row r="46" spans="5:22" x14ac:dyDescent="0.25">
      <c r="F46" s="4"/>
      <c r="G46" s="145" t="s">
        <v>15</v>
      </c>
      <c r="H46" s="1"/>
      <c r="I46" s="1"/>
      <c r="J46" s="36">
        <v>91462</v>
      </c>
      <c r="K46" s="36">
        <f>'Income Statement'!B73</f>
        <v>-23813</v>
      </c>
      <c r="L46" s="36">
        <f>K46+'Income Statement'!C73</f>
        <v>-44221</v>
      </c>
      <c r="M46" s="36">
        <f>L46+'Income Statement'!D73</f>
        <v>-62337</v>
      </c>
      <c r="N46" s="36">
        <f>M46+'Income Statement'!E73</f>
        <v>-24953</v>
      </c>
      <c r="O46" s="36">
        <f>N46+'Income Statement'!F73</f>
        <v>-17178</v>
      </c>
      <c r="P46" s="36">
        <f>O46+'Income Statement'!G73</f>
        <v>-14311</v>
      </c>
      <c r="Q46" s="36">
        <f>P46+'Income Statement'!H73</f>
        <v>-28162</v>
      </c>
      <c r="R46" s="36">
        <f>Q46+'Income Statement'!I73</f>
        <v>-6053</v>
      </c>
      <c r="S46" s="36">
        <f>R46+'Income Statement'!J73</f>
        <v>-22834</v>
      </c>
      <c r="T46" s="36">
        <f>S46+'Income Statement'!K73</f>
        <v>-22938</v>
      </c>
      <c r="U46" s="36">
        <f>T46+'Income Statement'!L73</f>
        <v>-27987</v>
      </c>
      <c r="V46" s="36">
        <f>U46+'Income Statement'!M73</f>
        <v>3774</v>
      </c>
    </row>
    <row r="47" spans="5:22" x14ac:dyDescent="0.25">
      <c r="F47" s="139"/>
      <c r="G47" s="139" t="s">
        <v>16</v>
      </c>
      <c r="H47" s="139"/>
      <c r="I47" s="139"/>
      <c r="J47" s="94">
        <f>SUM(J45:J46)</f>
        <v>645962</v>
      </c>
      <c r="K47" s="94">
        <f>SUM(K45:K46)</f>
        <v>622149</v>
      </c>
      <c r="L47" s="94">
        <f>SUM(L45:L46)</f>
        <v>601741</v>
      </c>
      <c r="M47" s="94">
        <f t="shared" ref="M47:V47" si="5">SUM(M45:M46)</f>
        <v>583628</v>
      </c>
      <c r="N47" s="94">
        <f t="shared" si="5"/>
        <v>621009</v>
      </c>
      <c r="O47" s="94">
        <f t="shared" si="5"/>
        <v>628784</v>
      </c>
      <c r="P47" s="94">
        <f t="shared" si="5"/>
        <v>631651</v>
      </c>
      <c r="Q47" s="94">
        <f t="shared" si="5"/>
        <v>617800</v>
      </c>
      <c r="R47" s="94">
        <f t="shared" si="5"/>
        <v>639909</v>
      </c>
      <c r="S47" s="94">
        <f t="shared" si="5"/>
        <v>623128</v>
      </c>
      <c r="T47" s="94">
        <f t="shared" si="5"/>
        <v>623024</v>
      </c>
      <c r="U47" s="94">
        <f t="shared" si="5"/>
        <v>617975</v>
      </c>
      <c r="V47" s="94">
        <f t="shared" si="5"/>
        <v>649736</v>
      </c>
    </row>
    <row r="48" spans="5:22" ht="13.8" thickBot="1" x14ac:dyDescent="0.3">
      <c r="F48" s="139"/>
      <c r="G48" s="139" t="s">
        <v>17</v>
      </c>
      <c r="H48" s="139"/>
      <c r="I48" s="139"/>
      <c r="J48" s="99">
        <f>J43+J47</f>
        <v>683014</v>
      </c>
      <c r="K48" s="99">
        <f>K43+K47</f>
        <v>700244</v>
      </c>
      <c r="L48" s="99">
        <f>L43+L47</f>
        <v>725071</v>
      </c>
      <c r="M48" s="99">
        <f t="shared" ref="M48:V48" si="6">M43+M47</f>
        <v>672541</v>
      </c>
      <c r="N48" s="99">
        <f t="shared" si="6"/>
        <v>704027</v>
      </c>
      <c r="O48" s="99">
        <f t="shared" si="6"/>
        <v>703861</v>
      </c>
      <c r="P48" s="99">
        <f t="shared" si="6"/>
        <v>687136</v>
      </c>
      <c r="Q48" s="99">
        <f t="shared" si="6"/>
        <v>701933</v>
      </c>
      <c r="R48" s="99">
        <f t="shared" si="6"/>
        <v>769337</v>
      </c>
      <c r="S48" s="99">
        <f t="shared" si="6"/>
        <v>714486</v>
      </c>
      <c r="T48" s="99">
        <f t="shared" si="6"/>
        <v>702415</v>
      </c>
      <c r="U48" s="99">
        <f t="shared" si="6"/>
        <v>686251</v>
      </c>
      <c r="V48" s="99">
        <f t="shared" si="6"/>
        <v>745947</v>
      </c>
    </row>
    <row r="49" spans="5:22" s="4" customFormat="1" ht="13.8" thickTop="1" x14ac:dyDescent="0.25">
      <c r="E49"/>
      <c r="F49" s="139"/>
      <c r="G49" s="139"/>
      <c r="H49" s="139"/>
      <c r="I49" s="139"/>
      <c r="J49" s="95"/>
      <c r="K49" s="96"/>
      <c r="L49" s="137"/>
      <c r="M49" s="137"/>
      <c r="N49" s="137"/>
      <c r="O49" s="137"/>
      <c r="P49" s="137"/>
      <c r="Q49" s="137"/>
      <c r="R49" s="137"/>
      <c r="S49" s="137"/>
      <c r="T49" s="137"/>
      <c r="U49" s="137"/>
      <c r="V49" s="137"/>
    </row>
    <row r="50" spans="5:22" x14ac:dyDescent="0.25">
      <c r="E50" s="4"/>
      <c r="F50" s="4"/>
      <c r="G50" s="3" t="s">
        <v>103</v>
      </c>
      <c r="H50" s="4"/>
      <c r="I50" s="4"/>
      <c r="J50" s="146">
        <f>J34-J48</f>
        <v>0.25</v>
      </c>
      <c r="K50" s="146">
        <f t="shared" ref="K50:V50" si="7">K34-K48</f>
        <v>0.65000000002328306</v>
      </c>
      <c r="L50" s="146">
        <f t="shared" si="7"/>
        <v>0.65000000002328306</v>
      </c>
      <c r="M50" s="146">
        <f t="shared" si="7"/>
        <v>-2.3499999999767169</v>
      </c>
      <c r="N50" s="146">
        <f t="shared" si="7"/>
        <v>0.65000000002328306</v>
      </c>
      <c r="O50" s="146">
        <f t="shared" si="7"/>
        <v>0.65000000002328306</v>
      </c>
      <c r="P50" s="146">
        <f t="shared" si="7"/>
        <v>0.65000000002328306</v>
      </c>
      <c r="Q50" s="146">
        <f t="shared" si="7"/>
        <v>0.65000000002328306</v>
      </c>
      <c r="R50" s="146">
        <f t="shared" si="7"/>
        <v>0.65000000002328306</v>
      </c>
      <c r="S50" s="146">
        <f t="shared" si="7"/>
        <v>0.65000000002328306</v>
      </c>
      <c r="T50" s="146">
        <f t="shared" si="7"/>
        <v>0.65000000002328306</v>
      </c>
      <c r="U50" s="146">
        <f t="shared" si="7"/>
        <v>0.65000000002328306</v>
      </c>
      <c r="V50" s="146">
        <f t="shared" si="7"/>
        <v>0.65000000002328306</v>
      </c>
    </row>
    <row r="51" spans="5:22" x14ac:dyDescent="0.25"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7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T37"/>
  <sheetViews>
    <sheetView topLeftCell="A2" zoomScale="75" zoomScaleNormal="75" zoomScalePageLayoutView="85" workbookViewId="0">
      <selection activeCell="I36" sqref="I36"/>
    </sheetView>
  </sheetViews>
  <sheetFormatPr defaultRowHeight="13.2" x14ac:dyDescent="0.25"/>
  <cols>
    <col min="2" max="2" width="8.33203125" customWidth="1"/>
    <col min="7" max="18" width="10.6640625" customWidth="1"/>
    <col min="19" max="19" width="10.109375" bestFit="1" customWidth="1"/>
  </cols>
  <sheetData>
    <row r="3" spans="1:20" x14ac:dyDescent="0.25">
      <c r="A3" s="164" t="s">
        <v>20</v>
      </c>
      <c r="B3" s="162"/>
      <c r="C3" s="162"/>
      <c r="D3" s="162"/>
      <c r="E3" s="162"/>
      <c r="F3" s="162"/>
      <c r="G3" s="162"/>
    </row>
    <row r="4" spans="1:20" x14ac:dyDescent="0.25">
      <c r="A4" s="164" t="s">
        <v>134</v>
      </c>
      <c r="B4" s="162"/>
      <c r="C4" s="162"/>
      <c r="D4" s="162"/>
      <c r="E4" s="162"/>
      <c r="F4" s="162"/>
      <c r="G4" s="162"/>
    </row>
    <row r="5" spans="1:20" x14ac:dyDescent="0.25">
      <c r="G5" s="7" t="s">
        <v>52</v>
      </c>
      <c r="H5" s="7" t="s">
        <v>53</v>
      </c>
      <c r="I5" s="7" t="s">
        <v>54</v>
      </c>
      <c r="J5" s="7" t="s">
        <v>55</v>
      </c>
      <c r="K5" s="7" t="s">
        <v>56</v>
      </c>
      <c r="L5" s="7" t="s">
        <v>57</v>
      </c>
      <c r="M5" s="7" t="s">
        <v>58</v>
      </c>
      <c r="N5" s="7" t="s">
        <v>59</v>
      </c>
      <c r="O5" s="7" t="s">
        <v>60</v>
      </c>
      <c r="P5" s="7" t="s">
        <v>61</v>
      </c>
      <c r="Q5" s="7" t="s">
        <v>62</v>
      </c>
      <c r="R5" s="7" t="s">
        <v>51</v>
      </c>
      <c r="S5" s="7"/>
      <c r="T5" s="7"/>
    </row>
    <row r="6" spans="1:20" x14ac:dyDescent="0.25">
      <c r="A6" s="3" t="s">
        <v>33</v>
      </c>
    </row>
    <row r="7" spans="1:20" x14ac:dyDescent="0.25">
      <c r="A7" s="1" t="s">
        <v>34</v>
      </c>
      <c r="G7" s="8">
        <f>SUM('Income Statement'!B73)</f>
        <v>-23813</v>
      </c>
      <c r="H7" s="8">
        <f>'Income Statement'!C73</f>
        <v>-20408</v>
      </c>
      <c r="I7" s="8">
        <f>'Income Statement'!D73</f>
        <v>-18116</v>
      </c>
      <c r="J7" s="8">
        <f>'Income Statement'!E73</f>
        <v>37384</v>
      </c>
      <c r="K7" s="8">
        <f>'Income Statement'!F73</f>
        <v>7775</v>
      </c>
      <c r="L7" s="8">
        <f>'Income Statement'!G73</f>
        <v>2867</v>
      </c>
      <c r="M7" s="8">
        <f>'Income Statement'!H73</f>
        <v>-13851</v>
      </c>
      <c r="N7" s="8">
        <f>'Income Statement'!I73</f>
        <v>22109</v>
      </c>
      <c r="O7" s="8">
        <f>'Income Statement'!J73</f>
        <v>-16781</v>
      </c>
      <c r="P7" s="8">
        <f>'Income Statement'!K73</f>
        <v>-104</v>
      </c>
      <c r="Q7" s="8">
        <f>'Income Statement'!L73</f>
        <v>-5049</v>
      </c>
      <c r="R7" s="8">
        <f>'Income Statement'!M73</f>
        <v>31761</v>
      </c>
      <c r="S7" s="2">
        <f>SUM(G7:R7)</f>
        <v>3774</v>
      </c>
    </row>
    <row r="8" spans="1:20" x14ac:dyDescent="0.25">
      <c r="A8" s="3" t="s">
        <v>35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20" x14ac:dyDescent="0.25">
      <c r="A9" s="5" t="s">
        <v>36</v>
      </c>
      <c r="G9" s="8">
        <f>BS!K30-BS!J30</f>
        <v>0.2000000000007276</v>
      </c>
      <c r="H9" s="8">
        <f>BS!L30-BS!K30</f>
        <v>0</v>
      </c>
      <c r="I9" s="8">
        <f>BS!M30-BS!L30</f>
        <v>0</v>
      </c>
      <c r="J9" s="8">
        <f>BS!N30-BS!M30</f>
        <v>0</v>
      </c>
      <c r="K9" s="8">
        <f>BS!O30-BS!N30</f>
        <v>0</v>
      </c>
      <c r="L9" s="8">
        <f>BS!P30-BS!O30</f>
        <v>0</v>
      </c>
      <c r="M9" s="8">
        <f>BS!Q30-BS!P30</f>
        <v>0</v>
      </c>
      <c r="N9" s="8">
        <f>BS!R30-BS!Q30</f>
        <v>0</v>
      </c>
      <c r="O9" s="8">
        <f>BS!S30-BS!R30</f>
        <v>0</v>
      </c>
      <c r="P9" s="8">
        <f>BS!T30-BS!S30</f>
        <v>0</v>
      </c>
      <c r="Q9" s="8">
        <f>BS!U30-BS!T30</f>
        <v>0</v>
      </c>
      <c r="R9" s="8">
        <f>BS!V30-BS!U30</f>
        <v>0</v>
      </c>
      <c r="S9" s="2">
        <f>SUM(G9:R9)</f>
        <v>0.2000000000007276</v>
      </c>
    </row>
    <row r="10" spans="1:20" x14ac:dyDescent="0.25">
      <c r="A10" s="1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20" x14ac:dyDescent="0.25">
      <c r="A11" s="3" t="s">
        <v>37</v>
      </c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20" x14ac:dyDescent="0.25">
      <c r="A12" s="5" t="s">
        <v>38</v>
      </c>
      <c r="G12" s="8">
        <f>(BS!J21+BS!J22)-(BS!K21+BS!K22)</f>
        <v>-5418.5299999999988</v>
      </c>
      <c r="H12" s="8">
        <f>(BS!K21+BS!K22)-(BS!L21+BS!L22)</f>
        <v>-7265</v>
      </c>
      <c r="I12" s="8">
        <f>(BS!L21+BS!L22)-(BS!M21+BS!M22)</f>
        <v>28085</v>
      </c>
      <c r="J12" s="8">
        <f>(BS!M21+BS!M22)-(BS!N21+BS!N22)</f>
        <v>-4830</v>
      </c>
      <c r="K12" s="8">
        <f>(BS!N21+BS!N22)-(BS!O21+BS!O22)</f>
        <v>-1280</v>
      </c>
      <c r="L12" s="8">
        <f>(BS!O21+BS!O22)-(BS!P21+BS!P22)</f>
        <v>550</v>
      </c>
      <c r="M12" s="8">
        <f>(BS!P21+BS!P22)-(BS!Q21+BS!Q22)</f>
        <v>1470</v>
      </c>
      <c r="N12" s="8">
        <f>(BS!Q21+BS!Q22)-(BS!R21+BS!R22)</f>
        <v>-6585</v>
      </c>
      <c r="O12" s="8">
        <f>(BS!R21+BS!R22)-(BS!S21+BS!S22)</f>
        <v>20755</v>
      </c>
      <c r="P12" s="8">
        <f>(BS!S21+BS!S22)-(BS!T21+BS!T22)</f>
        <v>-2845</v>
      </c>
      <c r="Q12" s="8">
        <f>(BS!T21+BS!T22)-(BS!U21+BS!U22)</f>
        <v>-1450</v>
      </c>
      <c r="R12" s="8">
        <f>(BS!U21+BS!U22)-(BS!V21+BS!V22)</f>
        <v>3760</v>
      </c>
      <c r="S12" s="2">
        <f t="shared" ref="S12:S21" si="0">SUM(G12:R12)</f>
        <v>24946.47</v>
      </c>
    </row>
    <row r="13" spans="1:20" x14ac:dyDescent="0.25">
      <c r="A13" s="5" t="s">
        <v>25</v>
      </c>
      <c r="G13" s="8">
        <f>BS!J23-BS!K23</f>
        <v>-999.58999999999651</v>
      </c>
      <c r="H13" s="8">
        <f>BS!K23-BS!L23</f>
        <v>-1000</v>
      </c>
      <c r="I13" s="8">
        <f>BS!L23-BS!M23</f>
        <v>1000</v>
      </c>
      <c r="J13" s="8">
        <f>BS!M23-BS!N23</f>
        <v>-3000</v>
      </c>
      <c r="K13" s="8">
        <f>BS!N23-BS!O23</f>
        <v>0</v>
      </c>
      <c r="L13" s="8">
        <f>BS!O23-BS!P23</f>
        <v>1000</v>
      </c>
      <c r="M13" s="8">
        <f>BS!P23-BS!Q23</f>
        <v>0</v>
      </c>
      <c r="N13" s="8">
        <f>BS!Q23-BS!R23</f>
        <v>-3000</v>
      </c>
      <c r="O13" s="8">
        <f>BS!R23-BS!S23</f>
        <v>5000</v>
      </c>
      <c r="P13" s="8">
        <f>BS!S23-BS!T23</f>
        <v>0</v>
      </c>
      <c r="Q13" s="8">
        <f>BS!T23-BS!U23</f>
        <v>0</v>
      </c>
      <c r="R13" s="8">
        <f>BS!U23-BS!V23</f>
        <v>1000</v>
      </c>
      <c r="S13" s="2">
        <f t="shared" si="0"/>
        <v>0.41000000000349246</v>
      </c>
    </row>
    <row r="14" spans="1:20" x14ac:dyDescent="0.25">
      <c r="A14" s="5" t="s">
        <v>3</v>
      </c>
      <c r="G14" s="8">
        <f>BS!J24-BS!K24</f>
        <v>-806</v>
      </c>
      <c r="H14" s="8">
        <f>BS!K24-BS!L24</f>
        <v>-1600</v>
      </c>
      <c r="I14" s="8">
        <f>BS!L24-BS!M24</f>
        <v>-1600</v>
      </c>
      <c r="J14" s="8">
        <f>BS!M24-BS!N24</f>
        <v>400</v>
      </c>
      <c r="K14" s="8">
        <f>BS!N24-BS!O24</f>
        <v>400</v>
      </c>
      <c r="L14" s="8">
        <f>BS!O24-BS!P24</f>
        <v>-6000</v>
      </c>
      <c r="M14" s="8">
        <f>BS!P24-BS!Q24</f>
        <v>800</v>
      </c>
      <c r="N14" s="8">
        <f>BS!Q24-BS!R24</f>
        <v>1600</v>
      </c>
      <c r="O14" s="8">
        <f>BS!R24-BS!S24</f>
        <v>2000</v>
      </c>
      <c r="P14" s="8">
        <f>BS!S24-BS!T24</f>
        <v>2000</v>
      </c>
      <c r="Q14" s="8">
        <f>BS!T24-BS!U24</f>
        <v>500</v>
      </c>
      <c r="R14" s="8">
        <f>BS!U24-BS!V24</f>
        <v>1500</v>
      </c>
      <c r="S14" s="2">
        <f t="shared" si="0"/>
        <v>-806</v>
      </c>
    </row>
    <row r="15" spans="1:20" x14ac:dyDescent="0.25">
      <c r="A15" s="5" t="s">
        <v>26</v>
      </c>
      <c r="G15" s="8">
        <f>BS!J25-BS!K25</f>
        <v>24839</v>
      </c>
      <c r="H15" s="8">
        <f>BS!K25-BS!L25</f>
        <v>0</v>
      </c>
      <c r="I15" s="8">
        <f>BS!L25-BS!M25</f>
        <v>0</v>
      </c>
      <c r="J15" s="8">
        <f>BS!M25-BS!N25</f>
        <v>0</v>
      </c>
      <c r="K15" s="8">
        <f>BS!N25-BS!O25</f>
        <v>0</v>
      </c>
      <c r="L15" s="8">
        <f>BS!O25-BS!P25</f>
        <v>0</v>
      </c>
      <c r="M15" s="8">
        <f>BS!P25-BS!Q25</f>
        <v>0</v>
      </c>
      <c r="N15" s="8">
        <f>BS!Q25-BS!R25</f>
        <v>0</v>
      </c>
      <c r="O15" s="8">
        <f>BS!R25-BS!S25</f>
        <v>0</v>
      </c>
      <c r="P15" s="8">
        <f>BS!S25-BS!T25</f>
        <v>0</v>
      </c>
      <c r="Q15" s="8">
        <f>BS!T25-BS!U25</f>
        <v>0</v>
      </c>
      <c r="R15" s="8">
        <f>BS!U25-BS!V25</f>
        <v>0</v>
      </c>
      <c r="S15" s="2">
        <f t="shared" si="0"/>
        <v>24839</v>
      </c>
    </row>
    <row r="16" spans="1:20" x14ac:dyDescent="0.25">
      <c r="A16" s="5" t="s">
        <v>27</v>
      </c>
      <c r="G16" s="8">
        <f>BS!J33-BS!K33</f>
        <v>-420</v>
      </c>
      <c r="H16" s="8">
        <f>BS!K33-BS!L33</f>
        <v>0</v>
      </c>
      <c r="I16" s="8">
        <f>BS!L33-BS!M33</f>
        <v>0</v>
      </c>
      <c r="J16" s="8">
        <f>BS!M33-BS!N33</f>
        <v>0</v>
      </c>
      <c r="K16" s="8">
        <f>BS!N33-BS!O33</f>
        <v>0</v>
      </c>
      <c r="L16" s="8">
        <f>BS!O33-BS!P33</f>
        <v>0</v>
      </c>
      <c r="M16" s="8">
        <f>BS!P33-BS!Q33</f>
        <v>0</v>
      </c>
      <c r="N16" s="8">
        <f>BS!Q33-BS!R33</f>
        <v>0</v>
      </c>
      <c r="O16" s="8">
        <f>BS!R33-BS!S33</f>
        <v>0</v>
      </c>
      <c r="P16" s="8">
        <f>BS!S33-BS!T33</f>
        <v>0</v>
      </c>
      <c r="Q16" s="8">
        <f>BS!T33-BS!U33</f>
        <v>0</v>
      </c>
      <c r="R16" s="8">
        <f>BS!U33-BS!V33</f>
        <v>0</v>
      </c>
      <c r="S16" s="2">
        <f>SUM(G16:R16)</f>
        <v>-420</v>
      </c>
    </row>
    <row r="17" spans="1:19" x14ac:dyDescent="0.25">
      <c r="A17" s="5" t="s">
        <v>39</v>
      </c>
      <c r="G17" s="8">
        <f>BS!K38-BS!J38</f>
        <v>33112</v>
      </c>
      <c r="H17" s="8">
        <f>BS!L38-BS!K38</f>
        <v>-1765</v>
      </c>
      <c r="I17" s="8">
        <f>BS!M38-BS!L38</f>
        <v>2783</v>
      </c>
      <c r="J17" s="8">
        <f>BS!N38-BS!M38</f>
        <v>-11595</v>
      </c>
      <c r="K17" s="8">
        <f>BS!O38-BS!N38</f>
        <v>4359</v>
      </c>
      <c r="L17" s="8">
        <f>BS!P38-BS!O38</f>
        <v>-2392</v>
      </c>
      <c r="M17" s="8">
        <f>BS!Q38-BS!P38</f>
        <v>-1352</v>
      </c>
      <c r="N17" s="8">
        <f>BS!R38-BS!Q38</f>
        <v>25295</v>
      </c>
      <c r="O17" s="8">
        <f>BS!S38-BS!R38</f>
        <v>-28270</v>
      </c>
      <c r="P17" s="8">
        <f>BS!T38-BS!S38</f>
        <v>-6267</v>
      </c>
      <c r="Q17" s="8">
        <f>BS!U38-BS!T38</f>
        <v>-915</v>
      </c>
      <c r="R17" s="8">
        <f>BS!V38-BS!U38</f>
        <v>4935</v>
      </c>
      <c r="S17" s="2">
        <f t="shared" si="0"/>
        <v>17928</v>
      </c>
    </row>
    <row r="18" spans="1:19" x14ac:dyDescent="0.25">
      <c r="A18" s="5" t="s">
        <v>45</v>
      </c>
      <c r="G18" s="8">
        <f>(BS!K40-BS!J40)+(BS!K41-BS!J41)</f>
        <v>902</v>
      </c>
      <c r="H18" s="8">
        <f>(BS!L40-BS!K40)+(BS!L41-BS!K41)</f>
        <v>65000</v>
      </c>
      <c r="I18" s="8">
        <f>(BS!M40-BS!L40)+(BS!M41-BS!L41)</f>
        <v>-37000</v>
      </c>
      <c r="J18" s="8">
        <f>(BS!N40-BS!M40)+(BS!N41-BS!M41)</f>
        <v>6000</v>
      </c>
      <c r="K18" s="8">
        <f>(BS!O40-BS!N40)+(BS!O41-BS!N41)</f>
        <v>-12000</v>
      </c>
      <c r="L18" s="8">
        <f>(BS!P40-BS!O40)+(BS!P41-BS!O41)</f>
        <v>-17000</v>
      </c>
      <c r="M18" s="8">
        <f>(BS!Q40-BS!P40)+(BS!Q41-BS!P41)</f>
        <v>26000</v>
      </c>
      <c r="N18" s="8">
        <f>(BS!R40-BS!Q40)+(BS!R41-BS!Q41)</f>
        <v>17000</v>
      </c>
      <c r="O18" s="8">
        <f>(BS!S40-BS!R40)+(BS!S41-BS!R41)</f>
        <v>-14000</v>
      </c>
      <c r="P18" s="8">
        <f>(BS!T40-BS!S40)+(BS!T41-BS!S41)</f>
        <v>-7000</v>
      </c>
      <c r="Q18" s="8">
        <f>(BS!U40-BS!T40)+(BS!U41-BS!T41)</f>
        <v>-14000</v>
      </c>
      <c r="R18" s="8">
        <f>(BS!V40-BS!U40)+(BS!V41-BS!U41)</f>
        <v>-11900</v>
      </c>
      <c r="S18" s="2">
        <f t="shared" si="0"/>
        <v>2002</v>
      </c>
    </row>
    <row r="19" spans="1:19" x14ac:dyDescent="0.25">
      <c r="A19" s="5" t="s">
        <v>46</v>
      </c>
      <c r="G19" s="8">
        <f>BS!K39-BS!J39</f>
        <v>7301</v>
      </c>
      <c r="H19" s="8">
        <f>BS!L39-BS!K39</f>
        <v>-18000</v>
      </c>
      <c r="I19" s="8">
        <f>BS!M39-BS!L39</f>
        <v>-200</v>
      </c>
      <c r="J19" s="8">
        <f>BS!N39-BS!M39</f>
        <v>-300</v>
      </c>
      <c r="K19" s="8">
        <f>BS!O39-BS!N39</f>
        <v>-300</v>
      </c>
      <c r="L19" s="8">
        <f>BS!P39-BS!O39</f>
        <v>-200</v>
      </c>
      <c r="M19" s="8">
        <f>BS!Q39-BS!P39</f>
        <v>4000</v>
      </c>
      <c r="N19" s="8">
        <f>BS!R39-BS!Q39</f>
        <v>3000</v>
      </c>
      <c r="O19" s="8">
        <f>BS!S39-BS!R39</f>
        <v>4200</v>
      </c>
      <c r="P19" s="8">
        <f>BS!T39-BS!S39</f>
        <v>1300</v>
      </c>
      <c r="Q19" s="8">
        <f>BS!U39-BS!T39</f>
        <v>3800</v>
      </c>
      <c r="R19" s="8">
        <f>BS!V39-BS!U39</f>
        <v>34900</v>
      </c>
      <c r="S19" s="2">
        <f t="shared" si="0"/>
        <v>39501</v>
      </c>
    </row>
    <row r="20" spans="1:19" x14ac:dyDescent="0.25">
      <c r="A20" s="5" t="s">
        <v>31</v>
      </c>
      <c r="G20" s="8">
        <f>BS!K42-BS!J42</f>
        <v>-272</v>
      </c>
      <c r="H20" s="8">
        <f>BS!L42-BS!K42</f>
        <v>0</v>
      </c>
      <c r="I20" s="8">
        <f>BS!M42-BS!L42</f>
        <v>0</v>
      </c>
      <c r="J20" s="8">
        <f>BS!N42-BS!M42</f>
        <v>0</v>
      </c>
      <c r="K20" s="8">
        <f>BS!O42-BS!N42</f>
        <v>0</v>
      </c>
      <c r="L20" s="8">
        <f>BS!P42-BS!O42</f>
        <v>0</v>
      </c>
      <c r="M20" s="8">
        <f>BS!Q42-BS!P42</f>
        <v>0</v>
      </c>
      <c r="N20" s="8">
        <f>BS!R42-BS!Q42</f>
        <v>0</v>
      </c>
      <c r="O20" s="8">
        <f>BS!S42-BS!R42</f>
        <v>0</v>
      </c>
      <c r="P20" s="8">
        <f>BS!T42-BS!S42</f>
        <v>0</v>
      </c>
      <c r="Q20" s="8">
        <f>BS!U42-BS!T42</f>
        <v>0</v>
      </c>
      <c r="R20" s="8">
        <f>BS!V42-BS!U42</f>
        <v>0</v>
      </c>
      <c r="S20" s="2">
        <f t="shared" si="0"/>
        <v>-272</v>
      </c>
    </row>
    <row r="21" spans="1:19" x14ac:dyDescent="0.25">
      <c r="A21" s="3" t="s">
        <v>40</v>
      </c>
      <c r="G21" s="8">
        <f>SUM(G7:G20)</f>
        <v>34425.08</v>
      </c>
      <c r="H21" s="8">
        <f t="shared" ref="H21:R21" si="1">SUM(H7:H20)</f>
        <v>14962</v>
      </c>
      <c r="I21" s="8">
        <f t="shared" si="1"/>
        <v>-25048</v>
      </c>
      <c r="J21" s="8">
        <f t="shared" si="1"/>
        <v>24059</v>
      </c>
      <c r="K21" s="8">
        <f t="shared" si="1"/>
        <v>-1046</v>
      </c>
      <c r="L21" s="8">
        <f t="shared" si="1"/>
        <v>-21175</v>
      </c>
      <c r="M21" s="8">
        <f t="shared" si="1"/>
        <v>17067</v>
      </c>
      <c r="N21" s="8">
        <f t="shared" si="1"/>
        <v>59419</v>
      </c>
      <c r="O21" s="8">
        <f t="shared" si="1"/>
        <v>-27096</v>
      </c>
      <c r="P21" s="8">
        <f t="shared" si="1"/>
        <v>-12916</v>
      </c>
      <c r="Q21" s="8">
        <f t="shared" si="1"/>
        <v>-17114</v>
      </c>
      <c r="R21" s="8">
        <f t="shared" si="1"/>
        <v>65956</v>
      </c>
      <c r="S21" s="2">
        <f t="shared" si="0"/>
        <v>111493.08</v>
      </c>
    </row>
    <row r="22" spans="1:19" x14ac:dyDescent="0.25">
      <c r="A22" s="3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9" x14ac:dyDescent="0.25">
      <c r="A23" s="3" t="s">
        <v>41</v>
      </c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9" x14ac:dyDescent="0.25">
      <c r="A24" s="5" t="s">
        <v>42</v>
      </c>
      <c r="G24" s="8">
        <f>BS!J29-BS!K29</f>
        <v>0.45000000001164153</v>
      </c>
      <c r="H24" s="8">
        <f>BS!K29-BS!L29</f>
        <v>0</v>
      </c>
      <c r="I24" s="8">
        <f>BS!L29-BS!M29</f>
        <v>0</v>
      </c>
      <c r="J24" s="8">
        <f>BS!M29-BS!N29</f>
        <v>0</v>
      </c>
      <c r="K24" s="8">
        <f>BS!N29-BS!O29</f>
        <v>0</v>
      </c>
      <c r="L24" s="8">
        <f>BS!O29-BS!P29</f>
        <v>0</v>
      </c>
      <c r="M24" s="8">
        <f>BS!P29-BS!Q29</f>
        <v>0</v>
      </c>
      <c r="N24" s="8">
        <f>BS!Q29-BS!R29</f>
        <v>0</v>
      </c>
      <c r="O24" s="8">
        <f>BS!R29-BS!S29</f>
        <v>0</v>
      </c>
      <c r="P24" s="8">
        <f>BS!S29-BS!T29</f>
        <v>0</v>
      </c>
      <c r="Q24" s="8">
        <f>BS!T29-BS!U29</f>
        <v>0</v>
      </c>
      <c r="R24" s="8">
        <f>BS!U29-BS!V29</f>
        <v>0</v>
      </c>
      <c r="S24" s="2">
        <f>SUM(G24:R24)</f>
        <v>0.45000000001164153</v>
      </c>
    </row>
    <row r="25" spans="1:19" x14ac:dyDescent="0.25">
      <c r="A25" s="1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</row>
    <row r="26" spans="1:19" x14ac:dyDescent="0.25">
      <c r="A26" s="3" t="s">
        <v>43</v>
      </c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</row>
    <row r="27" spans="1:19" x14ac:dyDescent="0.25">
      <c r="A27" s="5" t="s">
        <v>47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2">
        <f>SUM(G27:R27)</f>
        <v>0</v>
      </c>
    </row>
    <row r="28" spans="1:19" x14ac:dyDescent="0.25">
      <c r="A28" s="6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</row>
    <row r="29" spans="1:19" x14ac:dyDescent="0.25">
      <c r="A29" s="3" t="s">
        <v>44</v>
      </c>
      <c r="G29" s="8">
        <f>G21+G24+G27</f>
        <v>34425.530000000013</v>
      </c>
      <c r="H29" s="8">
        <f t="shared" ref="H29:R29" si="2">H21+H24+H27</f>
        <v>14962</v>
      </c>
      <c r="I29" s="8">
        <f t="shared" si="2"/>
        <v>-25048</v>
      </c>
      <c r="J29" s="8">
        <f t="shared" si="2"/>
        <v>24059</v>
      </c>
      <c r="K29" s="8">
        <f t="shared" si="2"/>
        <v>-1046</v>
      </c>
      <c r="L29" s="8">
        <f t="shared" si="2"/>
        <v>-21175</v>
      </c>
      <c r="M29" s="8">
        <f t="shared" si="2"/>
        <v>17067</v>
      </c>
      <c r="N29" s="8">
        <f t="shared" si="2"/>
        <v>59419</v>
      </c>
      <c r="O29" s="8">
        <f t="shared" si="2"/>
        <v>-27096</v>
      </c>
      <c r="P29" s="8">
        <f t="shared" si="2"/>
        <v>-12916</v>
      </c>
      <c r="Q29" s="8">
        <f t="shared" si="2"/>
        <v>-17114</v>
      </c>
      <c r="R29" s="8">
        <f t="shared" si="2"/>
        <v>65956</v>
      </c>
      <c r="S29" s="2">
        <f>SUM(G29:R29)</f>
        <v>111493.53000000001</v>
      </c>
    </row>
    <row r="30" spans="1:19" x14ac:dyDescent="0.25">
      <c r="A30" s="3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</row>
    <row r="31" spans="1:19" x14ac:dyDescent="0.25">
      <c r="A31" s="3" t="s">
        <v>48</v>
      </c>
      <c r="G31" s="8">
        <f>BS!J20</f>
        <v>389018</v>
      </c>
      <c r="H31" s="8">
        <f>BS!K20</f>
        <v>423443.53</v>
      </c>
      <c r="I31" s="8">
        <f>BS!L20</f>
        <v>438405.53</v>
      </c>
      <c r="J31" s="8">
        <f>BS!M20</f>
        <v>413357.53</v>
      </c>
      <c r="K31" s="8">
        <f>BS!N20</f>
        <v>437416.53</v>
      </c>
      <c r="L31" s="8">
        <f>BS!O20</f>
        <v>436370.53</v>
      </c>
      <c r="M31" s="8">
        <f>BS!P20</f>
        <v>415195.53</v>
      </c>
      <c r="N31" s="8">
        <f>BS!Q20</f>
        <v>432262.53</v>
      </c>
      <c r="O31" s="8">
        <f>BS!R20</f>
        <v>491681.53</v>
      </c>
      <c r="P31" s="8">
        <f>BS!S20</f>
        <v>464585.53</v>
      </c>
      <c r="Q31" s="8">
        <f>BS!T20</f>
        <v>451669.53</v>
      </c>
      <c r="R31" s="8">
        <f>BS!U20</f>
        <v>434555.53</v>
      </c>
    </row>
    <row r="32" spans="1:19" x14ac:dyDescent="0.25">
      <c r="A32" s="3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</row>
    <row r="33" spans="1:18" x14ac:dyDescent="0.25">
      <c r="A33" s="3" t="s">
        <v>49</v>
      </c>
      <c r="G33" s="8">
        <f>G29+G31</f>
        <v>423443.53</v>
      </c>
      <c r="H33" s="8">
        <f t="shared" ref="H33:R33" si="3">H29+H31</f>
        <v>438405.53</v>
      </c>
      <c r="I33" s="8">
        <f t="shared" si="3"/>
        <v>413357.53</v>
      </c>
      <c r="J33" s="8">
        <f t="shared" si="3"/>
        <v>437416.53</v>
      </c>
      <c r="K33" s="8">
        <f t="shared" si="3"/>
        <v>436370.53</v>
      </c>
      <c r="L33" s="8">
        <f t="shared" si="3"/>
        <v>415195.53</v>
      </c>
      <c r="M33" s="8">
        <f t="shared" si="3"/>
        <v>432262.53</v>
      </c>
      <c r="N33" s="8">
        <f t="shared" si="3"/>
        <v>491681.53</v>
      </c>
      <c r="O33" s="8">
        <f t="shared" si="3"/>
        <v>464585.53</v>
      </c>
      <c r="P33" s="8">
        <f t="shared" si="3"/>
        <v>451669.53</v>
      </c>
      <c r="Q33" s="8">
        <f t="shared" si="3"/>
        <v>434555.53</v>
      </c>
      <c r="R33" s="8">
        <f t="shared" si="3"/>
        <v>500511.53</v>
      </c>
    </row>
    <row r="34" spans="1:18" x14ac:dyDescent="0.25"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</row>
    <row r="35" spans="1:18" x14ac:dyDescent="0.25">
      <c r="A35" s="4" t="s">
        <v>50</v>
      </c>
      <c r="G35" s="8">
        <f>G33-BS!K20</f>
        <v>0</v>
      </c>
      <c r="H35" s="8">
        <f>H33-BS!L20</f>
        <v>0</v>
      </c>
      <c r="I35" s="8">
        <f>I33-BS!M20</f>
        <v>0</v>
      </c>
      <c r="J35" s="8">
        <f>J33-BS!N20</f>
        <v>0</v>
      </c>
      <c r="K35" s="8">
        <f>K33-BS!O20</f>
        <v>0</v>
      </c>
      <c r="L35" s="8">
        <f>L33-BS!P20</f>
        <v>0</v>
      </c>
      <c r="M35" s="8">
        <f>M33-BS!Q20</f>
        <v>0</v>
      </c>
      <c r="N35" s="8">
        <f>N33-BS!R20</f>
        <v>0</v>
      </c>
      <c r="O35" s="8">
        <f>O33-BS!S20</f>
        <v>0</v>
      </c>
      <c r="P35" s="8">
        <f>P33-BS!T20</f>
        <v>0</v>
      </c>
      <c r="Q35" s="8">
        <f>Q33-BS!U20</f>
        <v>0</v>
      </c>
      <c r="R35" s="8">
        <f>R33-BS!V20</f>
        <v>0</v>
      </c>
    </row>
    <row r="36" spans="1:18" x14ac:dyDescent="0.25"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</row>
    <row r="37" spans="1:18" x14ac:dyDescent="0.25"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30"/>
  <sheetViews>
    <sheetView workbookViewId="0">
      <selection activeCell="I11" sqref="I11"/>
    </sheetView>
  </sheetViews>
  <sheetFormatPr defaultRowHeight="13.2" x14ac:dyDescent="0.25"/>
  <cols>
    <col min="1" max="1" width="36.5546875" customWidth="1"/>
    <col min="2" max="2" width="18.5546875" style="110" customWidth="1"/>
    <col min="3" max="14" width="15.6640625" style="110" customWidth="1"/>
  </cols>
  <sheetData>
    <row r="1" spans="1:15" s="130" customFormat="1" ht="14.4" x14ac:dyDescent="0.3">
      <c r="B1" s="38" t="s">
        <v>187</v>
      </c>
      <c r="C1" s="112" t="s">
        <v>52</v>
      </c>
      <c r="D1" s="112" t="s">
        <v>53</v>
      </c>
      <c r="E1" s="112" t="s">
        <v>54</v>
      </c>
      <c r="F1" s="112" t="s">
        <v>55</v>
      </c>
      <c r="G1" s="112" t="s">
        <v>56</v>
      </c>
      <c r="H1" s="112" t="s">
        <v>57</v>
      </c>
      <c r="I1" s="112" t="s">
        <v>58</v>
      </c>
      <c r="J1" s="112" t="s">
        <v>59</v>
      </c>
      <c r="K1" s="112" t="s">
        <v>60</v>
      </c>
      <c r="L1" s="112" t="s">
        <v>61</v>
      </c>
      <c r="M1" s="112" t="s">
        <v>62</v>
      </c>
      <c r="N1" s="112" t="s">
        <v>51</v>
      </c>
    </row>
    <row r="2" spans="1:15" s="130" customFormat="1" ht="14.4" x14ac:dyDescent="0.3">
      <c r="A2" s="130" t="s">
        <v>106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</row>
    <row r="3" spans="1:15" x14ac:dyDescent="0.25">
      <c r="A3" s="4"/>
    </row>
    <row r="4" spans="1:15" x14ac:dyDescent="0.25">
      <c r="A4" s="4" t="s">
        <v>137</v>
      </c>
      <c r="B4" s="110">
        <v>22730</v>
      </c>
      <c r="C4" s="110">
        <v>0</v>
      </c>
      <c r="D4" s="110">
        <v>0</v>
      </c>
      <c r="E4" s="110">
        <v>0</v>
      </c>
      <c r="F4" s="110">
        <v>0</v>
      </c>
      <c r="G4" s="110">
        <v>0</v>
      </c>
      <c r="H4" s="110">
        <v>0</v>
      </c>
      <c r="I4" s="110">
        <v>0</v>
      </c>
      <c r="J4" s="110">
        <v>0</v>
      </c>
      <c r="K4" s="110">
        <v>0</v>
      </c>
      <c r="L4" s="110">
        <v>0</v>
      </c>
      <c r="M4" s="110">
        <v>0</v>
      </c>
      <c r="N4" s="110">
        <v>0</v>
      </c>
    </row>
    <row r="5" spans="1:15" x14ac:dyDescent="0.25">
      <c r="A5" s="4" t="s">
        <v>147</v>
      </c>
      <c r="B5" s="110">
        <v>11926.53</v>
      </c>
      <c r="C5" s="110">
        <v>1000</v>
      </c>
      <c r="D5" s="110">
        <v>1000</v>
      </c>
      <c r="E5" s="110">
        <v>1000</v>
      </c>
      <c r="F5" s="110">
        <v>1500</v>
      </c>
      <c r="G5" s="110">
        <v>1500</v>
      </c>
      <c r="H5" s="110">
        <v>1000</v>
      </c>
      <c r="I5" s="110">
        <v>1000</v>
      </c>
      <c r="J5" s="110">
        <v>1000</v>
      </c>
      <c r="K5" s="110">
        <v>1500</v>
      </c>
      <c r="L5" s="110">
        <v>1500</v>
      </c>
      <c r="M5" s="110">
        <v>2000</v>
      </c>
      <c r="N5" s="110">
        <v>1500</v>
      </c>
    </row>
    <row r="6" spans="1:15" x14ac:dyDescent="0.25">
      <c r="A6" s="4" t="s">
        <v>150</v>
      </c>
      <c r="B6" s="110">
        <v>6455</v>
      </c>
      <c r="C6" s="110">
        <v>0</v>
      </c>
      <c r="D6" s="110">
        <v>0</v>
      </c>
      <c r="E6" s="110">
        <v>0</v>
      </c>
      <c r="F6" s="110">
        <v>0</v>
      </c>
      <c r="G6" s="110">
        <v>0</v>
      </c>
      <c r="H6" s="110">
        <v>0</v>
      </c>
      <c r="I6" s="110">
        <v>0</v>
      </c>
      <c r="J6" s="110">
        <v>0</v>
      </c>
      <c r="K6" s="110">
        <v>0</v>
      </c>
      <c r="L6" s="110">
        <v>3545</v>
      </c>
      <c r="M6" s="110">
        <v>0</v>
      </c>
      <c r="N6" s="110">
        <v>0</v>
      </c>
    </row>
    <row r="7" spans="1:15" x14ac:dyDescent="0.25">
      <c r="A7" s="4" t="s">
        <v>188</v>
      </c>
      <c r="B7" s="110">
        <v>1925</v>
      </c>
      <c r="C7" s="110">
        <v>500</v>
      </c>
      <c r="D7" s="110">
        <v>500</v>
      </c>
      <c r="E7" s="110">
        <v>500</v>
      </c>
      <c r="F7" s="110">
        <v>500</v>
      </c>
      <c r="G7" s="110">
        <v>1075</v>
      </c>
    </row>
    <row r="8" spans="1:15" x14ac:dyDescent="0.25">
      <c r="A8" s="4" t="s">
        <v>148</v>
      </c>
      <c r="B8" s="110">
        <v>0</v>
      </c>
      <c r="C8" s="110">
        <v>726</v>
      </c>
      <c r="D8" s="110">
        <v>1826</v>
      </c>
      <c r="E8" s="110">
        <v>1826</v>
      </c>
      <c r="F8" s="110">
        <v>2156</v>
      </c>
      <c r="G8" s="110">
        <v>1606</v>
      </c>
      <c r="H8" s="110">
        <v>1606</v>
      </c>
      <c r="I8" s="110">
        <v>4136</v>
      </c>
      <c r="J8" s="110">
        <v>4191</v>
      </c>
      <c r="K8" s="110">
        <v>1881</v>
      </c>
      <c r="L8" s="110">
        <v>1991</v>
      </c>
      <c r="M8" s="110">
        <v>1331</v>
      </c>
      <c r="N8" s="110">
        <v>1276</v>
      </c>
    </row>
    <row r="9" spans="1:15" s="133" customFormat="1" x14ac:dyDescent="0.25">
      <c r="A9" s="131" t="s">
        <v>122</v>
      </c>
      <c r="B9" s="110">
        <v>0</v>
      </c>
      <c r="C9" s="132">
        <v>15000</v>
      </c>
      <c r="D9" s="111">
        <v>14000</v>
      </c>
      <c r="E9" s="111">
        <v>18500</v>
      </c>
      <c r="F9" s="111">
        <v>9000</v>
      </c>
      <c r="G9" s="111">
        <v>14000</v>
      </c>
      <c r="H9" s="111">
        <v>8000</v>
      </c>
      <c r="I9" s="111">
        <v>10000</v>
      </c>
      <c r="J9" s="111">
        <v>25000</v>
      </c>
      <c r="K9" s="111">
        <v>7700</v>
      </c>
      <c r="L9" s="111">
        <v>7750</v>
      </c>
      <c r="M9" s="111">
        <v>6500</v>
      </c>
      <c r="N9" s="111">
        <v>10000</v>
      </c>
    </row>
    <row r="10" spans="1:15" s="133" customFormat="1" x14ac:dyDescent="0.25">
      <c r="A10" s="131" t="s">
        <v>149</v>
      </c>
      <c r="B10" s="110">
        <v>0</v>
      </c>
      <c r="C10" s="127">
        <v>3439</v>
      </c>
      <c r="D10" s="111">
        <v>3439</v>
      </c>
      <c r="E10" s="111">
        <v>3439</v>
      </c>
      <c r="F10" s="111">
        <v>3439</v>
      </c>
      <c r="G10" s="111">
        <v>3439</v>
      </c>
      <c r="H10" s="111">
        <v>3439</v>
      </c>
      <c r="I10" s="111">
        <v>3439</v>
      </c>
      <c r="J10" s="111">
        <v>3439</v>
      </c>
      <c r="K10" s="111">
        <v>3439</v>
      </c>
      <c r="L10" s="111">
        <v>3439</v>
      </c>
      <c r="M10" s="111">
        <v>3439</v>
      </c>
      <c r="N10" s="111">
        <v>3439</v>
      </c>
    </row>
    <row r="11" spans="1:15" x14ac:dyDescent="0.25">
      <c r="A11" s="4" t="s">
        <v>151</v>
      </c>
      <c r="C11" s="110">
        <v>-15000</v>
      </c>
      <c r="D11" s="110">
        <v>-14000</v>
      </c>
      <c r="E11" s="110">
        <v>-51850</v>
      </c>
      <c r="F11" s="110">
        <v>-14265</v>
      </c>
      <c r="G11" s="110">
        <v>-19265</v>
      </c>
      <c r="H11" s="110">
        <v>-13595</v>
      </c>
      <c r="I11" s="110">
        <v>-20045</v>
      </c>
      <c r="J11" s="110">
        <v>-30045</v>
      </c>
      <c r="K11" s="110">
        <v>-30275</v>
      </c>
      <c r="L11" s="110">
        <v>-15380</v>
      </c>
      <c r="M11" s="110">
        <v>-11820</v>
      </c>
      <c r="N11" s="110">
        <v>-18975</v>
      </c>
    </row>
    <row r="12" spans="1:15" s="130" customFormat="1" ht="14.4" x14ac:dyDescent="0.3">
      <c r="A12" s="130" t="s">
        <v>107</v>
      </c>
      <c r="B12" s="112">
        <f>SUM(B3:B11)</f>
        <v>43036.53</v>
      </c>
      <c r="C12" s="112">
        <f>SUM(B12+C3+C4+C5+C6+C8+C9+C10+C11)</f>
        <v>48201.53</v>
      </c>
      <c r="D12" s="112">
        <f t="shared" ref="D12:N12" si="0">SUM(C12+D3+D4+D5+D6+D8+D9+D10+D11)</f>
        <v>54466.53</v>
      </c>
      <c r="E12" s="112">
        <f t="shared" si="0"/>
        <v>27381.53</v>
      </c>
      <c r="F12" s="112">
        <f t="shared" si="0"/>
        <v>29211.53</v>
      </c>
      <c r="G12" s="112">
        <f t="shared" si="0"/>
        <v>30491.53</v>
      </c>
      <c r="H12" s="112">
        <f t="shared" si="0"/>
        <v>30941.53</v>
      </c>
      <c r="I12" s="112">
        <f t="shared" si="0"/>
        <v>29471.53</v>
      </c>
      <c r="J12" s="112">
        <f t="shared" si="0"/>
        <v>33056.53</v>
      </c>
      <c r="K12" s="112">
        <f t="shared" si="0"/>
        <v>17301.53</v>
      </c>
      <c r="L12" s="112">
        <f t="shared" si="0"/>
        <v>20146.53</v>
      </c>
      <c r="M12" s="112">
        <f t="shared" si="0"/>
        <v>21596.53</v>
      </c>
      <c r="N12" s="112">
        <f t="shared" si="0"/>
        <v>18836.53</v>
      </c>
    </row>
    <row r="14" spans="1:15" ht="14.4" x14ac:dyDescent="0.3">
      <c r="A14" s="134" t="s">
        <v>108</v>
      </c>
      <c r="B14" s="113"/>
      <c r="C14" s="113"/>
      <c r="D14" s="113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4"/>
    </row>
    <row r="15" spans="1:15" x14ac:dyDescent="0.25">
      <c r="A15" s="4" t="s">
        <v>109</v>
      </c>
      <c r="B15" s="113"/>
      <c r="C15" s="113">
        <v>1000</v>
      </c>
      <c r="D15" s="113">
        <v>2000</v>
      </c>
      <c r="E15" s="113">
        <v>1000</v>
      </c>
      <c r="F15" s="113">
        <v>4000</v>
      </c>
      <c r="G15" s="113">
        <v>4000</v>
      </c>
      <c r="H15" s="113">
        <v>3000</v>
      </c>
      <c r="I15" s="113">
        <v>3000</v>
      </c>
      <c r="J15" s="113">
        <v>6000</v>
      </c>
      <c r="K15" s="113">
        <v>1000</v>
      </c>
      <c r="L15" s="113">
        <v>1000</v>
      </c>
      <c r="M15" s="113">
        <v>1000</v>
      </c>
      <c r="N15" s="113">
        <v>4000</v>
      </c>
      <c r="O15" s="4"/>
    </row>
    <row r="16" spans="1:15" x14ac:dyDescent="0.25">
      <c r="A16" s="4" t="s">
        <v>110</v>
      </c>
      <c r="B16" s="113"/>
      <c r="C16" s="113"/>
      <c r="D16" s="113">
        <v>-1000</v>
      </c>
      <c r="E16" s="113">
        <v>-2000</v>
      </c>
      <c r="F16" s="113">
        <v>-1000</v>
      </c>
      <c r="G16" s="113">
        <v>-4000</v>
      </c>
      <c r="H16" s="113">
        <v>-4000</v>
      </c>
      <c r="I16" s="113">
        <v>-3000</v>
      </c>
      <c r="J16" s="113">
        <v>-3000</v>
      </c>
      <c r="K16" s="113">
        <v>-6000</v>
      </c>
      <c r="L16" s="113">
        <v>-1000</v>
      </c>
      <c r="M16" s="113">
        <v>-1000</v>
      </c>
      <c r="N16" s="113">
        <v>-5000</v>
      </c>
      <c r="O16" s="4"/>
    </row>
    <row r="17" spans="1:15" ht="14.4" x14ac:dyDescent="0.3">
      <c r="A17" s="134" t="s">
        <v>64</v>
      </c>
      <c r="B17" s="135">
        <v>0</v>
      </c>
      <c r="C17" s="113">
        <f>SUM(B15+C15+C16)</f>
        <v>1000</v>
      </c>
      <c r="D17" s="113">
        <f>SUM(C17+D15+D16)</f>
        <v>2000</v>
      </c>
      <c r="E17" s="113">
        <f t="shared" ref="E17:N17" si="1">SUM(D17+E15+E16)</f>
        <v>1000</v>
      </c>
      <c r="F17" s="113">
        <f t="shared" si="1"/>
        <v>4000</v>
      </c>
      <c r="G17" s="113">
        <f t="shared" si="1"/>
        <v>4000</v>
      </c>
      <c r="H17" s="113">
        <f t="shared" si="1"/>
        <v>3000</v>
      </c>
      <c r="I17" s="113">
        <f t="shared" si="1"/>
        <v>3000</v>
      </c>
      <c r="J17" s="113">
        <f t="shared" si="1"/>
        <v>6000</v>
      </c>
      <c r="K17" s="113">
        <f t="shared" si="1"/>
        <v>1000</v>
      </c>
      <c r="L17" s="113">
        <f t="shared" si="1"/>
        <v>1000</v>
      </c>
      <c r="M17" s="113">
        <f t="shared" si="1"/>
        <v>1000</v>
      </c>
      <c r="N17" s="113">
        <f t="shared" si="1"/>
        <v>0</v>
      </c>
      <c r="O17" s="4"/>
    </row>
    <row r="18" spans="1:15" ht="14.4" x14ac:dyDescent="0.3">
      <c r="A18" s="134"/>
      <c r="B18" s="113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4"/>
    </row>
    <row r="19" spans="1:15" ht="14.4" x14ac:dyDescent="0.3">
      <c r="A19" s="134" t="s">
        <v>25</v>
      </c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</row>
    <row r="20" spans="1:15" x14ac:dyDescent="0.25">
      <c r="A20" s="4"/>
      <c r="B20" s="113">
        <v>35896.589999999997</v>
      </c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</row>
    <row r="21" spans="1:15" x14ac:dyDescent="0.25">
      <c r="A21" s="4" t="s">
        <v>128</v>
      </c>
      <c r="B21" s="113"/>
      <c r="C21" s="113">
        <v>1000</v>
      </c>
      <c r="D21" s="113">
        <v>2000</v>
      </c>
      <c r="E21" s="113">
        <v>1000</v>
      </c>
      <c r="F21" s="113">
        <v>4000</v>
      </c>
      <c r="G21" s="113">
        <v>4000</v>
      </c>
      <c r="H21" s="113">
        <v>3000</v>
      </c>
      <c r="I21" s="113">
        <v>3000</v>
      </c>
      <c r="J21" s="113">
        <v>6000</v>
      </c>
      <c r="K21" s="113">
        <v>1000</v>
      </c>
      <c r="L21" s="113">
        <v>1000</v>
      </c>
      <c r="M21" s="113">
        <v>1000</v>
      </c>
      <c r="N21" s="113">
        <v>4000</v>
      </c>
    </row>
    <row r="22" spans="1:15" x14ac:dyDescent="0.25">
      <c r="A22" s="4" t="s">
        <v>125</v>
      </c>
      <c r="B22" s="113"/>
      <c r="C22" s="113"/>
      <c r="D22" s="113">
        <v>-1000</v>
      </c>
      <c r="E22" s="113">
        <v>-2000</v>
      </c>
      <c r="F22" s="113">
        <v>-1000</v>
      </c>
      <c r="G22" s="113">
        <v>-4000</v>
      </c>
      <c r="H22" s="113">
        <v>-4000</v>
      </c>
      <c r="I22" s="113">
        <v>-3000</v>
      </c>
      <c r="J22" s="113">
        <v>-3000</v>
      </c>
      <c r="K22" s="113">
        <v>-6000</v>
      </c>
      <c r="L22" s="113">
        <v>-1000</v>
      </c>
      <c r="M22" s="113">
        <v>-1000</v>
      </c>
      <c r="N22" s="113">
        <v>-5000</v>
      </c>
    </row>
    <row r="23" spans="1:15" x14ac:dyDescent="0.25">
      <c r="A23" s="4" t="s">
        <v>63</v>
      </c>
      <c r="B23" s="113"/>
      <c r="C23" s="113">
        <f>SUM(B20+C21+C22)</f>
        <v>36896.589999999997</v>
      </c>
      <c r="D23" s="113">
        <f>SUM(C23+D21+D22)</f>
        <v>37896.589999999997</v>
      </c>
      <c r="E23" s="113">
        <f t="shared" ref="E23:N23" si="2">SUM(D23+E21+E22)</f>
        <v>36896.589999999997</v>
      </c>
      <c r="F23" s="113">
        <f t="shared" si="2"/>
        <v>39896.589999999997</v>
      </c>
      <c r="G23" s="113">
        <f t="shared" si="2"/>
        <v>39896.589999999997</v>
      </c>
      <c r="H23" s="113">
        <f t="shared" si="2"/>
        <v>38896.589999999997</v>
      </c>
      <c r="I23" s="113">
        <f t="shared" si="2"/>
        <v>38896.589999999997</v>
      </c>
      <c r="J23" s="113">
        <f t="shared" si="2"/>
        <v>41896.589999999997</v>
      </c>
      <c r="K23" s="113">
        <f t="shared" si="2"/>
        <v>36896.589999999997</v>
      </c>
      <c r="L23" s="113">
        <f t="shared" si="2"/>
        <v>36896.589999999997</v>
      </c>
      <c r="M23" s="113">
        <f t="shared" si="2"/>
        <v>36896.589999999997</v>
      </c>
      <c r="N23" s="113">
        <f t="shared" si="2"/>
        <v>35896.589999999997</v>
      </c>
    </row>
    <row r="24" spans="1:15" x14ac:dyDescent="0.25">
      <c r="A24" s="4"/>
      <c r="B24" s="113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</row>
    <row r="25" spans="1:15" ht="14.4" x14ac:dyDescent="0.3">
      <c r="A25" s="134" t="s">
        <v>111</v>
      </c>
      <c r="B25" s="113"/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13"/>
    </row>
    <row r="26" spans="1:15" x14ac:dyDescent="0.25">
      <c r="A26" s="4" t="s">
        <v>112</v>
      </c>
      <c r="B26" s="113">
        <v>5183</v>
      </c>
      <c r="C26" s="113">
        <v>5183</v>
      </c>
      <c r="D26" s="113">
        <f>C29</f>
        <v>38295</v>
      </c>
      <c r="E26" s="113">
        <f>D29</f>
        <v>36530</v>
      </c>
      <c r="F26" s="113">
        <f t="shared" ref="F26:N26" si="3">E29</f>
        <v>39313</v>
      </c>
      <c r="G26" s="113">
        <f t="shared" si="3"/>
        <v>27718</v>
      </c>
      <c r="H26" s="113">
        <f t="shared" si="3"/>
        <v>32077</v>
      </c>
      <c r="I26" s="113">
        <f t="shared" si="3"/>
        <v>29685</v>
      </c>
      <c r="J26" s="113">
        <f t="shared" si="3"/>
        <v>28333</v>
      </c>
      <c r="K26" s="113">
        <f t="shared" si="3"/>
        <v>53628</v>
      </c>
      <c r="L26" s="113">
        <f t="shared" si="3"/>
        <v>25358</v>
      </c>
      <c r="M26" s="113">
        <f t="shared" si="3"/>
        <v>19091</v>
      </c>
      <c r="N26" s="113">
        <f t="shared" si="3"/>
        <v>18176</v>
      </c>
    </row>
    <row r="27" spans="1:15" x14ac:dyDescent="0.25">
      <c r="A27" s="4" t="s">
        <v>113</v>
      </c>
      <c r="B27" s="113"/>
      <c r="C27" s="113">
        <f>SUM('Income Statement'!B70)-11914</f>
        <v>44150</v>
      </c>
      <c r="D27" s="113">
        <f>SUM('Income Statement'!C70)-11914</f>
        <v>42385</v>
      </c>
      <c r="E27" s="113">
        <f>SUM('Income Statement'!D70)-11914</f>
        <v>45168</v>
      </c>
      <c r="F27" s="113">
        <f>SUM('Income Statement'!E70)-11914</f>
        <v>33573</v>
      </c>
      <c r="G27" s="113">
        <f>SUM('Income Statement'!F70)-11914</f>
        <v>37932</v>
      </c>
      <c r="H27" s="113">
        <f>SUM('Income Statement'!G70)-11914</f>
        <v>35540</v>
      </c>
      <c r="I27" s="113">
        <f>SUM('Income Statement'!H70)-11914</f>
        <v>34188</v>
      </c>
      <c r="J27" s="113">
        <f>SUM('Income Statement'!I70)-11914</f>
        <v>59483</v>
      </c>
      <c r="K27" s="113">
        <f>SUM('Income Statement'!J70)-11914</f>
        <v>31213</v>
      </c>
      <c r="L27" s="113">
        <f>SUM('Income Statement'!K70)-11914</f>
        <v>24946</v>
      </c>
      <c r="M27" s="113">
        <f>SUM('Income Statement'!L70)-11914</f>
        <v>24031</v>
      </c>
      <c r="N27" s="113">
        <f>SUM('Income Statement'!M70)-11914</f>
        <v>28966</v>
      </c>
    </row>
    <row r="28" spans="1:15" x14ac:dyDescent="0.25">
      <c r="A28" s="4" t="s">
        <v>114</v>
      </c>
      <c r="B28" s="113"/>
      <c r="C28" s="113">
        <v>-11038</v>
      </c>
      <c r="D28" s="113">
        <f>-(SUM('Income Statement'!B70)-11914)</f>
        <v>-44150</v>
      </c>
      <c r="E28" s="113">
        <f>-(SUM('Income Statement'!C70)-11914)</f>
        <v>-42385</v>
      </c>
      <c r="F28" s="113">
        <f>-(SUM('Income Statement'!D70)-11914)</f>
        <v>-45168</v>
      </c>
      <c r="G28" s="113">
        <f>-(SUM('Income Statement'!E70)-11914)</f>
        <v>-33573</v>
      </c>
      <c r="H28" s="113">
        <f>-(SUM('Income Statement'!F70)-11914)</f>
        <v>-37932</v>
      </c>
      <c r="I28" s="113">
        <f>-(SUM('Income Statement'!G70)-11914)</f>
        <v>-35540</v>
      </c>
      <c r="J28" s="113">
        <f>-(SUM('Income Statement'!H70)-11914)</f>
        <v>-34188</v>
      </c>
      <c r="K28" s="113">
        <f>-(SUM('Income Statement'!I70)-11914)</f>
        <v>-59483</v>
      </c>
      <c r="L28" s="113">
        <f>-(SUM('Income Statement'!J70)-11914)</f>
        <v>-31213</v>
      </c>
      <c r="M28" s="113">
        <f>-(SUM('Income Statement'!K70)-11914)</f>
        <v>-24946</v>
      </c>
      <c r="N28" s="113">
        <f>-(SUM('Income Statement'!L70)-11914)</f>
        <v>-24031</v>
      </c>
    </row>
    <row r="29" spans="1:15" s="130" customFormat="1" ht="14.4" x14ac:dyDescent="0.3">
      <c r="A29" s="134" t="s">
        <v>115</v>
      </c>
      <c r="B29" s="136">
        <v>5183</v>
      </c>
      <c r="C29" s="136">
        <f>SUM(C26:C28)</f>
        <v>38295</v>
      </c>
      <c r="D29" s="136">
        <f t="shared" ref="D29:N29" si="4">SUM(D26:D28)</f>
        <v>36530</v>
      </c>
      <c r="E29" s="136">
        <f t="shared" si="4"/>
        <v>39313</v>
      </c>
      <c r="F29" s="136">
        <f t="shared" si="4"/>
        <v>27718</v>
      </c>
      <c r="G29" s="136">
        <f t="shared" si="4"/>
        <v>32077</v>
      </c>
      <c r="H29" s="136">
        <f t="shared" si="4"/>
        <v>29685</v>
      </c>
      <c r="I29" s="136">
        <f t="shared" si="4"/>
        <v>28333</v>
      </c>
      <c r="J29" s="136">
        <f t="shared" si="4"/>
        <v>53628</v>
      </c>
      <c r="K29" s="136">
        <f t="shared" si="4"/>
        <v>25358</v>
      </c>
      <c r="L29" s="136">
        <f t="shared" si="4"/>
        <v>19091</v>
      </c>
      <c r="M29" s="136">
        <f t="shared" si="4"/>
        <v>18176</v>
      </c>
      <c r="N29" s="136">
        <f t="shared" si="4"/>
        <v>23111</v>
      </c>
    </row>
    <row r="30" spans="1:15" x14ac:dyDescent="0.25">
      <c r="A30" s="137"/>
      <c r="B30" s="138"/>
      <c r="C30" s="138"/>
      <c r="D30" s="138"/>
      <c r="E30" s="138"/>
      <c r="F30" s="138"/>
      <c r="G30" s="138"/>
      <c r="H30" s="138"/>
      <c r="I30" s="138"/>
      <c r="J30" s="138"/>
      <c r="K30" s="138"/>
      <c r="L30" s="138"/>
      <c r="M30" s="138"/>
      <c r="N30" s="138"/>
    </row>
  </sheetData>
  <pageMargins left="0.7" right="0.7" top="0.75" bottom="0.75" header="0.3" footer="0.3"/>
  <pageSetup scale="47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69"/>
  <sheetViews>
    <sheetView topLeftCell="A28" zoomScale="70" zoomScaleNormal="70" workbookViewId="0">
      <selection activeCell="N68" sqref="N68:N69"/>
    </sheetView>
  </sheetViews>
  <sheetFormatPr defaultRowHeight="13.2" x14ac:dyDescent="0.25"/>
  <cols>
    <col min="1" max="1" width="25" customWidth="1"/>
    <col min="2" max="2" width="9.109375"/>
    <col min="3" max="3" width="10.44140625" customWidth="1"/>
    <col min="4" max="7" width="9.109375"/>
    <col min="8" max="8" width="10.6640625" customWidth="1"/>
    <col min="9" max="12" width="9.109375"/>
    <col min="13" max="13" width="9.109375" style="90"/>
    <col min="14" max="14" width="9.109375"/>
    <col min="15" max="15" width="8.6640625" style="90" customWidth="1"/>
    <col min="16" max="16" width="9.109375"/>
  </cols>
  <sheetData>
    <row r="1" spans="1:16" x14ac:dyDescent="0.25">
      <c r="A1" s="44"/>
      <c r="B1" s="45" t="s">
        <v>52</v>
      </c>
      <c r="C1" s="4" t="s">
        <v>129</v>
      </c>
      <c r="D1" s="4" t="s">
        <v>54</v>
      </c>
      <c r="E1" s="4" t="s">
        <v>55</v>
      </c>
      <c r="F1" s="4" t="s">
        <v>56</v>
      </c>
      <c r="G1" s="4" t="s">
        <v>57</v>
      </c>
      <c r="H1" s="4" t="s">
        <v>58</v>
      </c>
      <c r="I1" s="22" t="s">
        <v>59</v>
      </c>
      <c r="J1" s="4" t="s">
        <v>130</v>
      </c>
      <c r="K1" s="4" t="s">
        <v>135</v>
      </c>
      <c r="L1" s="4" t="s">
        <v>131</v>
      </c>
      <c r="M1" s="4" t="s">
        <v>132</v>
      </c>
      <c r="N1" s="90" t="s">
        <v>107</v>
      </c>
      <c r="O1"/>
      <c r="P1" s="90"/>
    </row>
    <row r="2" spans="1:16" x14ac:dyDescent="0.25">
      <c r="A2" s="47" t="s">
        <v>66</v>
      </c>
      <c r="B2" s="52"/>
      <c r="C2" s="23"/>
      <c r="M2"/>
      <c r="N2" s="101"/>
      <c r="O2"/>
    </row>
    <row r="3" spans="1:16" x14ac:dyDescent="0.25">
      <c r="A3" s="51" t="s">
        <v>67</v>
      </c>
      <c r="B3" s="5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101">
        <f t="shared" ref="N3:N9" si="0">SUM(B3:M3)</f>
        <v>0</v>
      </c>
      <c r="O3"/>
    </row>
    <row r="4" spans="1:16" x14ac:dyDescent="0.25">
      <c r="A4" s="51" t="s">
        <v>68</v>
      </c>
      <c r="B4" s="52"/>
      <c r="C4" s="39"/>
      <c r="D4" s="39"/>
      <c r="E4" s="39"/>
      <c r="F4" s="39"/>
      <c r="G4" s="39"/>
      <c r="H4" s="39"/>
      <c r="I4" s="39"/>
      <c r="J4" s="39"/>
      <c r="K4" s="39"/>
      <c r="L4" s="23"/>
      <c r="M4" s="23"/>
      <c r="N4" s="101">
        <f t="shared" si="0"/>
        <v>0</v>
      </c>
      <c r="O4"/>
    </row>
    <row r="5" spans="1:16" x14ac:dyDescent="0.25">
      <c r="A5" s="51" t="s">
        <v>69</v>
      </c>
      <c r="B5" s="102"/>
      <c r="C5" s="103"/>
      <c r="D5" s="103"/>
      <c r="E5" s="103"/>
      <c r="F5" s="103"/>
      <c r="G5" s="103"/>
      <c r="H5" s="103"/>
      <c r="I5" s="103"/>
      <c r="J5" s="103"/>
      <c r="K5" s="103"/>
      <c r="L5" s="23"/>
      <c r="M5" s="23"/>
      <c r="N5" s="101">
        <f t="shared" si="0"/>
        <v>0</v>
      </c>
      <c r="O5"/>
    </row>
    <row r="6" spans="1:16" x14ac:dyDescent="0.25">
      <c r="A6" s="51" t="s">
        <v>70</v>
      </c>
      <c r="B6" s="52"/>
      <c r="C6" s="39"/>
      <c r="D6" s="39"/>
      <c r="E6" s="39"/>
      <c r="F6" s="39"/>
      <c r="G6" s="39"/>
      <c r="H6" s="39"/>
      <c r="I6" s="39"/>
      <c r="J6" s="39"/>
      <c r="K6" s="39"/>
      <c r="L6" s="23"/>
      <c r="M6" s="23"/>
      <c r="N6" s="101">
        <f t="shared" si="0"/>
        <v>0</v>
      </c>
      <c r="O6"/>
    </row>
    <row r="7" spans="1:16" x14ac:dyDescent="0.25">
      <c r="A7" s="51" t="s">
        <v>71</v>
      </c>
      <c r="B7" s="9"/>
      <c r="C7" s="35"/>
      <c r="D7" s="35"/>
      <c r="E7" s="39"/>
      <c r="F7" s="39"/>
      <c r="G7" s="39"/>
      <c r="H7" s="39"/>
      <c r="I7" s="39"/>
      <c r="J7" s="39"/>
      <c r="K7" s="39"/>
      <c r="L7" s="23"/>
      <c r="M7" s="23"/>
      <c r="N7" s="101">
        <f t="shared" si="0"/>
        <v>0</v>
      </c>
      <c r="O7"/>
    </row>
    <row r="8" spans="1:16" x14ac:dyDescent="0.25">
      <c r="A8" s="51" t="s">
        <v>72</v>
      </c>
      <c r="B8" s="102"/>
      <c r="C8" s="103"/>
      <c r="D8" s="103"/>
      <c r="E8" s="103"/>
      <c r="F8" s="103"/>
      <c r="G8" s="103"/>
      <c r="H8" s="103"/>
      <c r="I8" s="103"/>
      <c r="J8" s="103"/>
      <c r="K8" s="103"/>
      <c r="L8" s="23"/>
      <c r="M8" s="23"/>
      <c r="N8" s="101">
        <f t="shared" si="0"/>
        <v>0</v>
      </c>
      <c r="O8"/>
    </row>
    <row r="9" spans="1:16" x14ac:dyDescent="0.25">
      <c r="A9" s="51" t="s">
        <v>140</v>
      </c>
      <c r="B9" s="102"/>
      <c r="C9" s="103"/>
      <c r="D9" s="103"/>
      <c r="E9" s="103"/>
      <c r="F9" s="103"/>
      <c r="G9" s="103"/>
      <c r="H9" s="103"/>
      <c r="I9" s="103"/>
      <c r="J9" s="103"/>
      <c r="K9" s="39"/>
      <c r="L9" s="23"/>
      <c r="M9" s="23"/>
      <c r="N9" s="101">
        <f t="shared" si="0"/>
        <v>0</v>
      </c>
      <c r="O9"/>
    </row>
    <row r="10" spans="1:16" x14ac:dyDescent="0.25">
      <c r="A10" s="54" t="s">
        <v>73</v>
      </c>
      <c r="B10" s="52"/>
      <c r="C10" s="39"/>
      <c r="D10" s="39"/>
      <c r="E10" s="39"/>
      <c r="F10" s="39"/>
      <c r="G10" s="39"/>
      <c r="H10" s="39"/>
      <c r="I10" s="39"/>
      <c r="J10" s="39"/>
      <c r="K10" s="39"/>
      <c r="L10" s="23"/>
      <c r="M10" s="23"/>
      <c r="N10" s="101"/>
      <c r="O10"/>
    </row>
    <row r="11" spans="1:16" x14ac:dyDescent="0.25">
      <c r="A11" s="54"/>
      <c r="B11" s="55"/>
      <c r="C11" s="104"/>
      <c r="D11" s="104"/>
      <c r="E11" s="104"/>
      <c r="F11" s="104"/>
      <c r="G11" s="104"/>
      <c r="H11" s="104"/>
      <c r="I11" s="104"/>
      <c r="J11" s="104"/>
      <c r="K11" s="104"/>
      <c r="L11" s="24"/>
      <c r="M11" s="24"/>
      <c r="N11" s="101">
        <f t="shared" ref="N11:N46" si="1">SUM(B10:M10)</f>
        <v>0</v>
      </c>
      <c r="O11"/>
    </row>
    <row r="12" spans="1:16" x14ac:dyDescent="0.25">
      <c r="A12" s="57" t="s">
        <v>74</v>
      </c>
      <c r="B12" s="58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101">
        <f t="shared" si="1"/>
        <v>0</v>
      </c>
      <c r="O12"/>
    </row>
    <row r="13" spans="1:16" x14ac:dyDescent="0.25">
      <c r="A13" s="60"/>
      <c r="B13" s="61"/>
      <c r="C13" s="105"/>
      <c r="D13" s="105"/>
      <c r="E13" s="105"/>
      <c r="F13" s="105"/>
      <c r="G13" s="105"/>
      <c r="H13" s="105"/>
      <c r="I13" s="105"/>
      <c r="J13" s="105"/>
      <c r="K13" s="105"/>
      <c r="L13" s="26"/>
      <c r="M13" s="26"/>
      <c r="N13" s="101">
        <f t="shared" si="1"/>
        <v>0</v>
      </c>
      <c r="O13"/>
    </row>
    <row r="14" spans="1:16" x14ac:dyDescent="0.25">
      <c r="A14" s="47" t="s">
        <v>75</v>
      </c>
      <c r="B14" s="63"/>
      <c r="C14" s="106"/>
      <c r="D14" s="106"/>
      <c r="E14" s="106"/>
      <c r="F14" s="106"/>
      <c r="G14" s="106"/>
      <c r="H14" s="106"/>
      <c r="I14" s="106"/>
      <c r="J14" s="106"/>
      <c r="K14" s="106"/>
      <c r="L14" s="27"/>
      <c r="M14" s="27"/>
      <c r="N14" s="101">
        <f t="shared" si="1"/>
        <v>0</v>
      </c>
      <c r="O14"/>
    </row>
    <row r="15" spans="1:16" x14ac:dyDescent="0.25">
      <c r="A15" s="51" t="s">
        <v>76</v>
      </c>
      <c r="B15" s="52"/>
      <c r="C15" s="39"/>
      <c r="D15" s="39"/>
      <c r="E15" s="39"/>
      <c r="F15" s="39"/>
      <c r="G15" s="39"/>
      <c r="H15" s="39"/>
      <c r="I15" s="39"/>
      <c r="J15" s="39"/>
      <c r="K15" s="39"/>
      <c r="L15" s="23"/>
      <c r="M15" s="23"/>
      <c r="N15" s="101">
        <f t="shared" si="1"/>
        <v>0</v>
      </c>
      <c r="O15"/>
    </row>
    <row r="16" spans="1:16" x14ac:dyDescent="0.25">
      <c r="A16" s="51" t="s">
        <v>77</v>
      </c>
      <c r="B16" s="52"/>
      <c r="C16" s="39"/>
      <c r="D16" s="39"/>
      <c r="E16" s="39"/>
      <c r="F16" s="39"/>
      <c r="G16" s="39"/>
      <c r="H16" s="39"/>
      <c r="I16" s="39"/>
      <c r="J16" s="39"/>
      <c r="K16" s="39"/>
      <c r="L16" s="23"/>
      <c r="M16" s="23"/>
      <c r="N16" s="101">
        <f t="shared" si="1"/>
        <v>0</v>
      </c>
      <c r="O16"/>
    </row>
    <row r="17" spans="1:15" x14ac:dyDescent="0.25">
      <c r="A17" s="51" t="s">
        <v>78</v>
      </c>
      <c r="B17" s="52"/>
      <c r="C17" s="39"/>
      <c r="D17" s="39"/>
      <c r="E17" s="39"/>
      <c r="F17" s="39"/>
      <c r="G17" s="39"/>
      <c r="H17" s="39"/>
      <c r="I17" s="39"/>
      <c r="J17" s="39"/>
      <c r="K17" s="39"/>
      <c r="L17" s="23"/>
      <c r="M17" s="23"/>
      <c r="N17" s="101">
        <f t="shared" si="1"/>
        <v>0</v>
      </c>
      <c r="O17"/>
    </row>
    <row r="18" spans="1:15" x14ac:dyDescent="0.25">
      <c r="A18" s="51"/>
      <c r="B18" s="55"/>
      <c r="C18" s="104"/>
      <c r="D18" s="104"/>
      <c r="E18" s="104"/>
      <c r="F18" s="104"/>
      <c r="G18" s="104"/>
      <c r="H18" s="104"/>
      <c r="I18" s="114"/>
      <c r="J18" s="114"/>
      <c r="K18" s="104"/>
      <c r="L18" s="24"/>
      <c r="M18" s="24"/>
      <c r="N18" s="101">
        <f t="shared" si="1"/>
        <v>0</v>
      </c>
      <c r="O18"/>
    </row>
    <row r="19" spans="1:15" x14ac:dyDescent="0.25">
      <c r="A19" s="44"/>
      <c r="B19" s="55"/>
      <c r="C19" s="104"/>
      <c r="D19" s="104"/>
      <c r="E19" s="104"/>
      <c r="F19" s="104"/>
      <c r="G19" s="104"/>
      <c r="H19" s="104"/>
      <c r="I19" s="104"/>
      <c r="J19" s="104"/>
      <c r="K19" s="104"/>
      <c r="L19" s="24"/>
      <c r="M19" s="24"/>
      <c r="N19" s="101">
        <f t="shared" si="1"/>
        <v>0</v>
      </c>
      <c r="O19"/>
    </row>
    <row r="20" spans="1:15" x14ac:dyDescent="0.25">
      <c r="A20" s="44"/>
      <c r="B20" s="55"/>
      <c r="C20" s="104"/>
      <c r="D20" s="104"/>
      <c r="E20" s="104"/>
      <c r="F20" s="104"/>
      <c r="G20" s="104"/>
      <c r="H20" s="104"/>
      <c r="I20" s="104"/>
      <c r="J20" s="104"/>
      <c r="K20" s="104"/>
      <c r="L20" s="24"/>
      <c r="M20" s="24"/>
      <c r="N20" s="101">
        <f t="shared" si="1"/>
        <v>0</v>
      </c>
      <c r="O20"/>
    </row>
    <row r="21" spans="1:15" x14ac:dyDescent="0.25">
      <c r="A21" s="66" t="s">
        <v>79</v>
      </c>
      <c r="B21" s="58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101">
        <f t="shared" si="1"/>
        <v>0</v>
      </c>
      <c r="O21"/>
    </row>
    <row r="22" spans="1:15" x14ac:dyDescent="0.25">
      <c r="A22" s="60"/>
      <c r="B22" s="67"/>
      <c r="C22" s="107"/>
      <c r="D22" s="107"/>
      <c r="E22" s="107"/>
      <c r="F22" s="107"/>
      <c r="G22" s="107"/>
      <c r="H22" s="107"/>
      <c r="I22" s="107"/>
      <c r="J22" s="107"/>
      <c r="K22" s="107"/>
      <c r="L22" s="28"/>
      <c r="M22" s="28"/>
      <c r="N22" s="101">
        <f t="shared" si="1"/>
        <v>0</v>
      </c>
      <c r="O22"/>
    </row>
    <row r="23" spans="1:15" x14ac:dyDescent="0.25">
      <c r="A23" s="66" t="s">
        <v>80</v>
      </c>
      <c r="B23" s="58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101">
        <f t="shared" si="1"/>
        <v>0</v>
      </c>
      <c r="O23"/>
    </row>
    <row r="24" spans="1:15" x14ac:dyDescent="0.25">
      <c r="A24" s="51"/>
      <c r="B24" s="67"/>
      <c r="C24" s="107"/>
      <c r="D24" s="107"/>
      <c r="E24" s="107"/>
      <c r="F24" s="107"/>
      <c r="G24" s="107"/>
      <c r="H24" s="107"/>
      <c r="I24" s="107"/>
      <c r="J24" s="107"/>
      <c r="K24" s="107"/>
      <c r="L24" s="28"/>
      <c r="M24" s="28"/>
      <c r="N24" s="101">
        <f t="shared" si="1"/>
        <v>0</v>
      </c>
      <c r="O24"/>
    </row>
    <row r="25" spans="1:15" x14ac:dyDescent="0.25">
      <c r="A25" s="47" t="s">
        <v>81</v>
      </c>
      <c r="B25" s="63"/>
      <c r="C25" s="106"/>
      <c r="D25" s="106"/>
      <c r="E25" s="106"/>
      <c r="F25" s="106"/>
      <c r="G25" s="106"/>
      <c r="H25" s="106"/>
      <c r="I25" s="106"/>
      <c r="J25" s="106"/>
      <c r="K25" s="106"/>
      <c r="L25" s="27"/>
      <c r="M25" s="27"/>
      <c r="N25" s="101">
        <f t="shared" si="1"/>
        <v>0</v>
      </c>
      <c r="O25"/>
    </row>
    <row r="26" spans="1:15" ht="14.4" x14ac:dyDescent="0.3">
      <c r="A26" s="69" t="s">
        <v>82</v>
      </c>
      <c r="B26" s="55"/>
      <c r="C26" s="104"/>
      <c r="D26" s="104"/>
      <c r="E26" s="104"/>
      <c r="F26" s="104"/>
      <c r="G26" s="104"/>
      <c r="H26" s="104"/>
      <c r="I26" s="104"/>
      <c r="J26" s="104"/>
      <c r="K26" s="104"/>
      <c r="L26" s="24"/>
      <c r="M26" s="24"/>
      <c r="N26" s="101">
        <f t="shared" si="1"/>
        <v>0</v>
      </c>
      <c r="O26"/>
    </row>
    <row r="27" spans="1:15" x14ac:dyDescent="0.25">
      <c r="A27" s="51" t="s">
        <v>83</v>
      </c>
      <c r="B27" s="52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23"/>
      <c r="N27" s="101">
        <f t="shared" si="1"/>
        <v>0</v>
      </c>
      <c r="O27"/>
    </row>
    <row r="28" spans="1:15" x14ac:dyDescent="0.25">
      <c r="A28" s="70" t="s">
        <v>84</v>
      </c>
      <c r="B28" s="52"/>
      <c r="C28" s="39"/>
      <c r="D28" s="39"/>
      <c r="E28" s="39"/>
      <c r="F28" s="39"/>
      <c r="G28" s="39"/>
      <c r="H28" s="39"/>
      <c r="I28" s="39"/>
      <c r="J28" s="39"/>
      <c r="K28" s="39"/>
      <c r="L28" s="23"/>
      <c r="M28" s="23"/>
      <c r="N28" s="101">
        <f t="shared" si="1"/>
        <v>0</v>
      </c>
      <c r="O28"/>
    </row>
    <row r="29" spans="1:15" x14ac:dyDescent="0.25">
      <c r="A29" s="51" t="s">
        <v>85</v>
      </c>
      <c r="B29" s="102"/>
      <c r="C29" s="103"/>
      <c r="D29" s="103"/>
      <c r="E29" s="103"/>
      <c r="F29" s="103"/>
      <c r="G29" s="103"/>
      <c r="H29" s="103"/>
      <c r="I29" s="103"/>
      <c r="J29" s="103"/>
      <c r="K29" s="103"/>
      <c r="L29" s="23"/>
      <c r="M29" s="23"/>
      <c r="N29" s="101">
        <f t="shared" si="1"/>
        <v>0</v>
      </c>
      <c r="O29"/>
    </row>
    <row r="30" spans="1:15" x14ac:dyDescent="0.25">
      <c r="A30" s="51" t="s">
        <v>86</v>
      </c>
      <c r="B30" s="102"/>
      <c r="C30" s="103"/>
      <c r="D30" s="103"/>
      <c r="E30" s="103"/>
      <c r="F30" s="103"/>
      <c r="G30" s="103"/>
      <c r="H30" s="103"/>
      <c r="I30" s="103"/>
      <c r="J30" s="103"/>
      <c r="K30" s="103"/>
      <c r="L30" s="23"/>
      <c r="M30" s="23"/>
      <c r="N30" s="101">
        <f t="shared" si="1"/>
        <v>0</v>
      </c>
      <c r="O30"/>
    </row>
    <row r="31" spans="1:15" x14ac:dyDescent="0.25">
      <c r="A31" s="54" t="s">
        <v>87</v>
      </c>
      <c r="B31" s="102"/>
      <c r="C31" s="103"/>
      <c r="D31" s="103"/>
      <c r="E31" s="103"/>
      <c r="F31" s="103"/>
      <c r="G31" s="103"/>
      <c r="H31" s="103"/>
      <c r="I31" s="103"/>
      <c r="J31" s="103"/>
      <c r="K31" s="103"/>
      <c r="L31" s="23"/>
      <c r="M31" s="23"/>
      <c r="N31" s="101">
        <f t="shared" si="1"/>
        <v>0</v>
      </c>
      <c r="O31"/>
    </row>
    <row r="32" spans="1:15" x14ac:dyDescent="0.25">
      <c r="A32" s="71" t="s">
        <v>88</v>
      </c>
      <c r="B32" s="52"/>
      <c r="C32" s="39"/>
      <c r="D32" s="39"/>
      <c r="E32" s="39"/>
      <c r="F32" s="39"/>
      <c r="G32" s="39"/>
      <c r="H32" s="39"/>
      <c r="I32" s="39"/>
      <c r="J32" s="39"/>
      <c r="K32" s="39"/>
      <c r="L32" s="23"/>
      <c r="M32" s="23"/>
      <c r="N32" s="101">
        <f t="shared" si="1"/>
        <v>0</v>
      </c>
      <c r="O32"/>
    </row>
    <row r="33" spans="1:15" x14ac:dyDescent="0.25">
      <c r="A33" s="51" t="s">
        <v>89</v>
      </c>
      <c r="B33" s="52"/>
      <c r="C33" s="39"/>
      <c r="D33" s="39"/>
      <c r="E33" s="39"/>
      <c r="F33" s="39"/>
      <c r="G33" s="39"/>
      <c r="H33" s="39"/>
      <c r="I33" s="39"/>
      <c r="J33" s="39"/>
      <c r="K33" s="39"/>
      <c r="L33" s="23"/>
      <c r="M33" s="23"/>
      <c r="N33" s="101">
        <f t="shared" si="1"/>
        <v>0</v>
      </c>
      <c r="O33"/>
    </row>
    <row r="34" spans="1:15" x14ac:dyDescent="0.25">
      <c r="A34" s="51" t="s">
        <v>90</v>
      </c>
      <c r="B34" s="52"/>
      <c r="C34" s="39"/>
      <c r="D34" s="39"/>
      <c r="E34" s="39"/>
      <c r="F34" s="39"/>
      <c r="G34" s="39"/>
      <c r="H34" s="39"/>
      <c r="I34" s="39"/>
      <c r="J34" s="39"/>
      <c r="K34" s="39"/>
      <c r="L34" s="23"/>
      <c r="M34" s="23"/>
      <c r="N34" s="101">
        <f t="shared" si="1"/>
        <v>0</v>
      </c>
      <c r="O34"/>
    </row>
    <row r="35" spans="1:15" x14ac:dyDescent="0.25">
      <c r="A35" s="51" t="s">
        <v>91</v>
      </c>
      <c r="B35" s="52"/>
      <c r="C35" s="39"/>
      <c r="D35" s="39"/>
      <c r="E35" s="39"/>
      <c r="F35" s="39"/>
      <c r="G35" s="39"/>
      <c r="H35" s="39"/>
      <c r="I35" s="39"/>
      <c r="J35" s="39"/>
      <c r="K35" s="39"/>
      <c r="L35" s="23"/>
      <c r="M35" s="23"/>
      <c r="N35" s="101">
        <f t="shared" si="1"/>
        <v>0</v>
      </c>
      <c r="O35"/>
    </row>
    <row r="36" spans="1:15" x14ac:dyDescent="0.25">
      <c r="A36" s="51" t="s">
        <v>92</v>
      </c>
      <c r="B36" s="52"/>
      <c r="C36" s="39"/>
      <c r="D36" s="39"/>
      <c r="E36" s="39"/>
      <c r="F36" s="39"/>
      <c r="G36" s="39"/>
      <c r="H36" s="39"/>
      <c r="I36" s="39"/>
      <c r="J36" s="39"/>
      <c r="K36" s="39"/>
      <c r="L36" s="23"/>
      <c r="M36" s="23"/>
      <c r="N36" s="101">
        <f t="shared" si="1"/>
        <v>0</v>
      </c>
      <c r="O36"/>
    </row>
    <row r="37" spans="1:15" x14ac:dyDescent="0.25">
      <c r="A37" s="54" t="s">
        <v>93</v>
      </c>
      <c r="B37" s="52"/>
      <c r="C37" s="39"/>
      <c r="D37" s="39"/>
      <c r="E37" s="39"/>
      <c r="F37" s="39"/>
      <c r="G37" s="39"/>
      <c r="H37" s="39"/>
      <c r="I37" s="39"/>
      <c r="J37" s="39"/>
      <c r="K37" s="39"/>
      <c r="L37" s="23"/>
      <c r="M37" s="23"/>
      <c r="N37" s="101">
        <f t="shared" si="1"/>
        <v>0</v>
      </c>
      <c r="O37"/>
    </row>
    <row r="38" spans="1:15" x14ac:dyDescent="0.25">
      <c r="A38" s="51" t="s">
        <v>73</v>
      </c>
      <c r="B38" s="72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3"/>
      <c r="N38" s="101">
        <f t="shared" si="1"/>
        <v>0</v>
      </c>
      <c r="O38"/>
    </row>
    <row r="39" spans="1:15" ht="14.4" x14ac:dyDescent="0.3">
      <c r="A39" s="74" t="s">
        <v>94</v>
      </c>
      <c r="B39" s="58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101">
        <f t="shared" si="1"/>
        <v>0</v>
      </c>
      <c r="O39"/>
    </row>
    <row r="40" spans="1:15" ht="14.4" x14ac:dyDescent="0.3">
      <c r="A40" s="74"/>
      <c r="B40" s="55"/>
      <c r="C40" s="104"/>
      <c r="D40" s="104"/>
      <c r="E40" s="104"/>
      <c r="F40" s="104"/>
      <c r="G40" s="104"/>
      <c r="H40" s="104"/>
      <c r="I40" s="104"/>
      <c r="J40" s="104"/>
      <c r="K40" s="104"/>
      <c r="L40" s="24"/>
      <c r="M40" s="24"/>
      <c r="N40" s="101">
        <f t="shared" si="1"/>
        <v>0</v>
      </c>
      <c r="O40"/>
    </row>
    <row r="41" spans="1:15" ht="14.4" x14ac:dyDescent="0.3">
      <c r="A41" s="69" t="s">
        <v>127</v>
      </c>
      <c r="B41" s="55"/>
      <c r="C41" s="104"/>
      <c r="D41" s="104"/>
      <c r="E41" s="104"/>
      <c r="F41" s="104"/>
      <c r="G41" s="104"/>
      <c r="H41" s="104"/>
      <c r="I41" s="104"/>
      <c r="J41" s="104"/>
      <c r="K41" s="104"/>
      <c r="L41" s="24"/>
      <c r="M41" s="24"/>
      <c r="N41" s="101">
        <f t="shared" si="1"/>
        <v>0</v>
      </c>
      <c r="O41"/>
    </row>
    <row r="42" spans="1:15" x14ac:dyDescent="0.25">
      <c r="A42" s="51" t="s">
        <v>83</v>
      </c>
      <c r="B42" s="52"/>
      <c r="C42" s="39"/>
      <c r="D42" s="39"/>
      <c r="E42" s="39"/>
      <c r="F42" s="39"/>
      <c r="G42" s="39"/>
      <c r="H42" s="39"/>
      <c r="I42" s="39"/>
      <c r="J42" s="39"/>
      <c r="K42" s="39"/>
      <c r="L42" s="23"/>
      <c r="M42" s="23"/>
      <c r="N42" s="101">
        <f t="shared" si="1"/>
        <v>0</v>
      </c>
      <c r="O42"/>
    </row>
    <row r="43" spans="1:15" x14ac:dyDescent="0.25">
      <c r="A43" s="51" t="s">
        <v>85</v>
      </c>
      <c r="B43" s="102"/>
      <c r="C43" s="103"/>
      <c r="D43" s="103"/>
      <c r="E43" s="103"/>
      <c r="F43" s="103"/>
      <c r="G43" s="103"/>
      <c r="H43" s="103"/>
      <c r="I43" s="103"/>
      <c r="J43" s="103"/>
      <c r="K43" s="103"/>
      <c r="L43" s="23"/>
      <c r="M43" s="23"/>
      <c r="N43" s="101">
        <f t="shared" si="1"/>
        <v>0</v>
      </c>
      <c r="O43"/>
    </row>
    <row r="44" spans="1:15" x14ac:dyDescent="0.25">
      <c r="A44" s="51" t="s">
        <v>73</v>
      </c>
      <c r="B44" s="102"/>
      <c r="C44" s="103"/>
      <c r="D44" s="103"/>
      <c r="E44" s="103"/>
      <c r="F44" s="103"/>
      <c r="G44" s="103"/>
      <c r="H44" s="103"/>
      <c r="I44" s="103"/>
      <c r="J44" s="103"/>
      <c r="K44" s="103"/>
      <c r="L44" s="23"/>
      <c r="M44" s="23"/>
      <c r="N44" s="101">
        <f t="shared" si="1"/>
        <v>0</v>
      </c>
      <c r="O44"/>
    </row>
    <row r="45" spans="1:15" x14ac:dyDescent="0.25">
      <c r="A45" s="51" t="s">
        <v>95</v>
      </c>
      <c r="B45" s="9"/>
      <c r="C45" s="35"/>
      <c r="D45" s="35"/>
      <c r="E45" s="39"/>
      <c r="F45" s="39"/>
      <c r="G45" s="39"/>
      <c r="H45" s="39"/>
      <c r="I45" s="39"/>
      <c r="J45" s="39"/>
      <c r="K45" s="39"/>
      <c r="L45" s="23"/>
      <c r="M45" s="23"/>
      <c r="N45" s="101">
        <f t="shared" si="1"/>
        <v>0</v>
      </c>
      <c r="O45"/>
    </row>
    <row r="46" spans="1:15" x14ac:dyDescent="0.25">
      <c r="A46" s="51" t="s">
        <v>126</v>
      </c>
      <c r="B46" s="102"/>
      <c r="C46" s="103"/>
      <c r="D46" s="103"/>
      <c r="E46" s="103"/>
      <c r="F46" s="103"/>
      <c r="G46" s="103"/>
      <c r="H46" s="103"/>
      <c r="I46" s="103"/>
      <c r="J46" s="103"/>
      <c r="K46" s="103"/>
      <c r="L46" s="23"/>
      <c r="M46" s="23"/>
      <c r="N46" s="101">
        <f t="shared" si="1"/>
        <v>0</v>
      </c>
      <c r="O46"/>
    </row>
    <row r="47" spans="1:15" x14ac:dyDescent="0.25">
      <c r="A47" s="51" t="s">
        <v>139</v>
      </c>
      <c r="B47" s="102"/>
      <c r="C47" s="103"/>
      <c r="D47" s="103"/>
      <c r="E47" s="103"/>
      <c r="F47" s="103"/>
      <c r="G47" s="103"/>
      <c r="H47" s="103"/>
      <c r="I47" s="103"/>
      <c r="J47" s="103"/>
      <c r="K47" s="103"/>
      <c r="L47" s="23"/>
      <c r="M47" s="23"/>
      <c r="N47" s="101"/>
      <c r="O47"/>
    </row>
    <row r="48" spans="1:15" x14ac:dyDescent="0.25">
      <c r="A48" s="51" t="s">
        <v>123</v>
      </c>
      <c r="B48" s="108"/>
      <c r="C48" s="109"/>
      <c r="D48" s="109"/>
      <c r="E48" s="109"/>
      <c r="F48" s="109"/>
      <c r="G48" s="109"/>
      <c r="H48" s="109"/>
      <c r="I48" s="109"/>
      <c r="J48" s="109"/>
      <c r="K48" s="109"/>
      <c r="L48" s="30"/>
      <c r="M48" s="23"/>
      <c r="N48" s="101">
        <f t="shared" ref="N48:N67" si="2">SUM(B46:M46)</f>
        <v>0</v>
      </c>
      <c r="O48"/>
    </row>
    <row r="49" spans="1:15" ht="14.4" x14ac:dyDescent="0.3">
      <c r="A49" s="77" t="s">
        <v>63</v>
      </c>
      <c r="B49" s="58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101">
        <f t="shared" si="2"/>
        <v>0</v>
      </c>
      <c r="O49"/>
    </row>
    <row r="50" spans="1:15" x14ac:dyDescent="0.25">
      <c r="A50" s="51"/>
      <c r="B50" s="52"/>
      <c r="C50" s="39"/>
      <c r="D50" s="39"/>
      <c r="E50" s="39"/>
      <c r="F50" s="39"/>
      <c r="G50" s="39"/>
      <c r="H50" s="39"/>
      <c r="I50" s="39"/>
      <c r="J50" s="39"/>
      <c r="K50" s="39"/>
      <c r="L50" s="23"/>
      <c r="M50" s="23"/>
      <c r="N50" s="101">
        <f t="shared" si="2"/>
        <v>0</v>
      </c>
      <c r="O50"/>
    </row>
    <row r="51" spans="1:15" ht="14.4" x14ac:dyDescent="0.3">
      <c r="A51" s="78" t="s">
        <v>96</v>
      </c>
      <c r="B51" s="52"/>
      <c r="C51" s="39"/>
      <c r="D51" s="39"/>
      <c r="E51" s="39"/>
      <c r="F51" s="39"/>
      <c r="G51" s="39"/>
      <c r="H51" s="39"/>
      <c r="I51" s="39"/>
      <c r="J51" s="39"/>
      <c r="K51" s="39"/>
      <c r="L51" s="23"/>
      <c r="M51" s="23"/>
      <c r="N51" s="101">
        <f t="shared" si="2"/>
        <v>0</v>
      </c>
      <c r="O51"/>
    </row>
    <row r="52" spans="1:15" x14ac:dyDescent="0.25">
      <c r="A52" s="51" t="s">
        <v>83</v>
      </c>
      <c r="B52" s="52"/>
      <c r="C52" s="39"/>
      <c r="D52" s="39"/>
      <c r="E52" s="39"/>
      <c r="F52" s="39"/>
      <c r="G52" s="39"/>
      <c r="H52" s="39"/>
      <c r="I52" s="39"/>
      <c r="J52" s="39"/>
      <c r="K52" s="39"/>
      <c r="L52" s="23"/>
      <c r="M52" s="23"/>
      <c r="N52" s="101">
        <f t="shared" si="2"/>
        <v>0</v>
      </c>
      <c r="O52"/>
    </row>
    <row r="53" spans="1:15" x14ac:dyDescent="0.25">
      <c r="A53" s="51" t="s">
        <v>84</v>
      </c>
      <c r="B53" s="52"/>
      <c r="C53" s="39"/>
      <c r="D53" s="39"/>
      <c r="E53" s="39"/>
      <c r="F53" s="39"/>
      <c r="G53" s="39"/>
      <c r="H53" s="39"/>
      <c r="I53" s="39"/>
      <c r="J53" s="39"/>
      <c r="K53" s="39"/>
      <c r="L53" s="23"/>
      <c r="M53" s="23"/>
      <c r="N53" s="101">
        <f t="shared" si="2"/>
        <v>0</v>
      </c>
      <c r="O53"/>
    </row>
    <row r="54" spans="1:15" x14ac:dyDescent="0.25">
      <c r="A54" s="51" t="s">
        <v>85</v>
      </c>
      <c r="B54" s="52"/>
      <c r="C54" s="39"/>
      <c r="D54" s="39"/>
      <c r="E54" s="39"/>
      <c r="F54" s="39"/>
      <c r="G54" s="39"/>
      <c r="H54" s="39"/>
      <c r="I54" s="39"/>
      <c r="J54" s="39"/>
      <c r="K54" s="39"/>
      <c r="L54" s="23"/>
      <c r="M54" s="23"/>
      <c r="N54" s="101">
        <f t="shared" si="2"/>
        <v>0</v>
      </c>
      <c r="O54"/>
    </row>
    <row r="55" spans="1:15" x14ac:dyDescent="0.25">
      <c r="A55" s="51" t="s">
        <v>86</v>
      </c>
      <c r="B55" s="52"/>
      <c r="C55" s="39"/>
      <c r="D55" s="39"/>
      <c r="E55" s="39"/>
      <c r="F55" s="39"/>
      <c r="G55" s="39"/>
      <c r="H55" s="39"/>
      <c r="I55" s="39"/>
      <c r="J55" s="39"/>
      <c r="K55" s="39"/>
      <c r="L55" s="23"/>
      <c r="M55" s="23"/>
      <c r="N55" s="101">
        <f t="shared" si="2"/>
        <v>0</v>
      </c>
      <c r="O55"/>
    </row>
    <row r="56" spans="1:15" x14ac:dyDescent="0.25">
      <c r="A56" s="51" t="s">
        <v>93</v>
      </c>
      <c r="B56" s="102"/>
      <c r="C56" s="103"/>
      <c r="D56" s="103"/>
      <c r="E56" s="103"/>
      <c r="F56" s="103"/>
      <c r="G56" s="103"/>
      <c r="H56" s="103"/>
      <c r="I56" s="103"/>
      <c r="J56" s="103"/>
      <c r="K56" s="103"/>
      <c r="L56" s="23"/>
      <c r="M56" s="23"/>
      <c r="N56" s="101">
        <f t="shared" si="2"/>
        <v>0</v>
      </c>
      <c r="O56"/>
    </row>
    <row r="57" spans="1:15" x14ac:dyDescent="0.25">
      <c r="A57" s="51" t="s">
        <v>97</v>
      </c>
      <c r="B57" s="52"/>
      <c r="C57" s="39"/>
      <c r="D57" s="39"/>
      <c r="E57" s="39"/>
      <c r="F57" s="39"/>
      <c r="G57" s="39"/>
      <c r="H57" s="39"/>
      <c r="I57" s="39"/>
      <c r="J57" s="39"/>
      <c r="K57" s="39"/>
      <c r="L57" s="23"/>
      <c r="M57" s="23"/>
      <c r="N57" s="101">
        <f t="shared" si="2"/>
        <v>0</v>
      </c>
      <c r="O57"/>
    </row>
    <row r="58" spans="1:15" x14ac:dyDescent="0.25">
      <c r="A58" s="51" t="s">
        <v>98</v>
      </c>
      <c r="B58" s="102"/>
      <c r="C58" s="103"/>
      <c r="D58" s="103"/>
      <c r="E58" s="103"/>
      <c r="F58" s="103"/>
      <c r="G58" s="103"/>
      <c r="H58" s="103"/>
      <c r="I58" s="103"/>
      <c r="J58" s="103"/>
      <c r="K58" s="103"/>
      <c r="L58" s="23"/>
      <c r="M58" s="23"/>
      <c r="N58" s="101">
        <f t="shared" si="2"/>
        <v>0</v>
      </c>
      <c r="O58"/>
    </row>
    <row r="59" spans="1:15" x14ac:dyDescent="0.25">
      <c r="A59" s="51" t="s">
        <v>99</v>
      </c>
      <c r="B59" s="52"/>
      <c r="C59" s="39"/>
      <c r="D59" s="39"/>
      <c r="E59" s="39"/>
      <c r="F59" s="39"/>
      <c r="G59" s="39"/>
      <c r="H59" s="39"/>
      <c r="I59" s="39"/>
      <c r="J59" s="39"/>
      <c r="K59" s="39"/>
      <c r="L59" s="23"/>
      <c r="M59" s="23"/>
      <c r="N59" s="101">
        <f t="shared" si="2"/>
        <v>0</v>
      </c>
      <c r="O59"/>
    </row>
    <row r="60" spans="1:15" x14ac:dyDescent="0.25">
      <c r="A60" s="51" t="s">
        <v>100</v>
      </c>
      <c r="B60" s="52"/>
      <c r="C60" s="39"/>
      <c r="D60" s="39"/>
      <c r="E60" s="39"/>
      <c r="F60" s="39"/>
      <c r="G60" s="39"/>
      <c r="H60" s="39"/>
      <c r="I60" s="39"/>
      <c r="J60" s="39"/>
      <c r="K60" s="39"/>
      <c r="L60" s="23"/>
      <c r="M60" s="23"/>
      <c r="N60" s="101">
        <f t="shared" si="2"/>
        <v>0</v>
      </c>
      <c r="O60"/>
    </row>
    <row r="61" spans="1:15" x14ac:dyDescent="0.25">
      <c r="A61" s="51" t="s">
        <v>73</v>
      </c>
      <c r="B61" s="72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101">
        <f t="shared" si="2"/>
        <v>0</v>
      </c>
      <c r="O61"/>
    </row>
    <row r="62" spans="1:15" ht="14.4" x14ac:dyDescent="0.3">
      <c r="A62" s="79" t="s">
        <v>63</v>
      </c>
      <c r="B62" s="80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101">
        <f t="shared" si="2"/>
        <v>0</v>
      </c>
      <c r="O62"/>
    </row>
    <row r="63" spans="1:15" x14ac:dyDescent="0.25">
      <c r="A63" s="71"/>
      <c r="B63" s="52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101">
        <f t="shared" si="2"/>
        <v>0</v>
      </c>
      <c r="O63"/>
    </row>
    <row r="64" spans="1:15" x14ac:dyDescent="0.25">
      <c r="A64" s="81" t="s">
        <v>101</v>
      </c>
      <c r="B64" s="8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101">
        <f t="shared" si="2"/>
        <v>0</v>
      </c>
      <c r="O64"/>
    </row>
    <row r="65" spans="1:15" x14ac:dyDescent="0.25">
      <c r="A65" s="71"/>
      <c r="B65" s="67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101">
        <f t="shared" si="2"/>
        <v>0</v>
      </c>
      <c r="O65"/>
    </row>
    <row r="66" spans="1:15" x14ac:dyDescent="0.25">
      <c r="A66" s="71"/>
      <c r="B66" s="8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101">
        <f t="shared" si="2"/>
        <v>0</v>
      </c>
    </row>
    <row r="67" spans="1:15" ht="13.8" thickBot="1" x14ac:dyDescent="0.3">
      <c r="A67" s="85" t="s">
        <v>102</v>
      </c>
      <c r="B67" s="86">
        <f t="shared" ref="B67:J67" si="3">B23-B64</f>
        <v>0</v>
      </c>
      <c r="C67" s="34">
        <f t="shared" si="3"/>
        <v>0</v>
      </c>
      <c r="D67" s="34">
        <f t="shared" si="3"/>
        <v>0</v>
      </c>
      <c r="E67" s="34">
        <f t="shared" si="3"/>
        <v>0</v>
      </c>
      <c r="F67" s="34">
        <f t="shared" si="3"/>
        <v>0</v>
      </c>
      <c r="G67" s="34">
        <f t="shared" si="3"/>
        <v>0</v>
      </c>
      <c r="H67" s="34">
        <f t="shared" si="3"/>
        <v>0</v>
      </c>
      <c r="I67" s="34">
        <f t="shared" si="3"/>
        <v>0</v>
      </c>
      <c r="J67" s="34">
        <f t="shared" si="3"/>
        <v>0</v>
      </c>
      <c r="K67" s="34"/>
      <c r="L67" s="34"/>
      <c r="M67" s="34"/>
      <c r="N67" s="101">
        <f t="shared" si="2"/>
        <v>0</v>
      </c>
    </row>
    <row r="68" spans="1:15" ht="13.8" thickTop="1" x14ac:dyDescent="0.25">
      <c r="N68" s="90"/>
      <c r="O68"/>
    </row>
    <row r="69" spans="1:15" x14ac:dyDescent="0.25">
      <c r="N69" s="90"/>
      <c r="O69"/>
    </row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1C588-F7C3-404B-B3FD-4A08337E7589}">
  <dimension ref="A2:Q34"/>
  <sheetViews>
    <sheetView topLeftCell="B14" zoomScale="140" zoomScaleNormal="140" workbookViewId="0">
      <selection activeCell="L32" sqref="L32"/>
    </sheetView>
  </sheetViews>
  <sheetFormatPr defaultColWidth="11.5546875" defaultRowHeight="13.2" x14ac:dyDescent="0.25"/>
  <cols>
    <col min="1" max="1" width="28.33203125" customWidth="1"/>
    <col min="2" max="3" width="10" customWidth="1"/>
    <col min="4" max="4" width="9.6640625" customWidth="1"/>
    <col min="5" max="15" width="8.44140625" customWidth="1"/>
  </cols>
  <sheetData>
    <row r="2" spans="1:16" x14ac:dyDescent="0.25">
      <c r="A2" s="4" t="s">
        <v>186</v>
      </c>
    </row>
    <row r="3" spans="1:16" x14ac:dyDescent="0.25">
      <c r="A3" s="4" t="s">
        <v>185</v>
      </c>
      <c r="B3" s="158">
        <f>23*2080</f>
        <v>47840</v>
      </c>
    </row>
    <row r="4" spans="1:16" x14ac:dyDescent="0.25">
      <c r="A4" s="4" t="s">
        <v>184</v>
      </c>
      <c r="B4" s="158">
        <f>B3*0.15</f>
        <v>7176</v>
      </c>
    </row>
    <row r="5" spans="1:16" x14ac:dyDescent="0.25">
      <c r="A5" s="4" t="s">
        <v>183</v>
      </c>
      <c r="B5" s="158">
        <f>B3+B4</f>
        <v>55016</v>
      </c>
    </row>
    <row r="6" spans="1:16" x14ac:dyDescent="0.25">
      <c r="A6" s="4" t="s">
        <v>182</v>
      </c>
      <c r="B6" s="158">
        <f>B5*3/4</f>
        <v>41262</v>
      </c>
    </row>
    <row r="7" spans="1:16" x14ac:dyDescent="0.25">
      <c r="A7" s="4" t="s">
        <v>181</v>
      </c>
      <c r="B7" s="160">
        <f>B6/12</f>
        <v>3438.5</v>
      </c>
      <c r="C7" s="159" t="s">
        <v>180</v>
      </c>
      <c r="D7" s="158">
        <f>3400*12</f>
        <v>40800</v>
      </c>
    </row>
    <row r="8" spans="1:16" x14ac:dyDescent="0.25">
      <c r="A8" s="4" t="s">
        <v>179</v>
      </c>
      <c r="B8" s="160">
        <f>(B3+B3*0.085)/12</f>
        <v>4325.5333333333338</v>
      </c>
      <c r="C8" s="159"/>
      <c r="D8" s="158">
        <f>12*B8</f>
        <v>51906.400000000009</v>
      </c>
    </row>
    <row r="9" spans="1:16" x14ac:dyDescent="0.25">
      <c r="A9" s="4"/>
      <c r="B9" s="160"/>
      <c r="C9" s="159"/>
      <c r="D9" s="4"/>
    </row>
    <row r="10" spans="1:16" x14ac:dyDescent="0.25">
      <c r="A10" s="4"/>
      <c r="B10" s="160"/>
      <c r="C10" s="159"/>
      <c r="D10" s="4"/>
    </row>
    <row r="11" spans="1:16" x14ac:dyDescent="0.25">
      <c r="A11" s="4"/>
      <c r="B11" s="160"/>
      <c r="C11" s="159"/>
      <c r="D11" s="4"/>
    </row>
    <row r="14" spans="1:16" x14ac:dyDescent="0.25">
      <c r="A14" s="4" t="s">
        <v>178</v>
      </c>
      <c r="B14" s="4" t="s">
        <v>177</v>
      </c>
      <c r="C14" s="4" t="s">
        <v>176</v>
      </c>
      <c r="D14" s="21" t="s">
        <v>175</v>
      </c>
      <c r="E14" s="21" t="s">
        <v>129</v>
      </c>
      <c r="F14" s="21" t="s">
        <v>174</v>
      </c>
      <c r="G14" s="21" t="s">
        <v>173</v>
      </c>
      <c r="H14" s="21" t="s">
        <v>56</v>
      </c>
      <c r="I14" s="21" t="s">
        <v>172</v>
      </c>
      <c r="J14" s="21" t="s">
        <v>171</v>
      </c>
      <c r="K14" s="21" t="s">
        <v>170</v>
      </c>
      <c r="L14" s="21" t="s">
        <v>169</v>
      </c>
      <c r="M14" s="21" t="s">
        <v>135</v>
      </c>
      <c r="N14" s="21" t="s">
        <v>131</v>
      </c>
      <c r="O14" s="21" t="s">
        <v>132</v>
      </c>
      <c r="P14" s="21" t="s">
        <v>63</v>
      </c>
    </row>
    <row r="15" spans="1:16" x14ac:dyDescent="0.25">
      <c r="A15" s="4" t="s">
        <v>168</v>
      </c>
      <c r="B15" s="158">
        <v>9214.3799999999992</v>
      </c>
      <c r="C15" s="158">
        <f t="shared" ref="C15:C29" si="0">B15/2</f>
        <v>4607.1899999999996</v>
      </c>
      <c r="D15" s="157">
        <v>400</v>
      </c>
      <c r="E15" s="157">
        <v>400</v>
      </c>
      <c r="F15" s="157">
        <v>400</v>
      </c>
      <c r="G15" s="157">
        <v>400</v>
      </c>
      <c r="H15" s="157">
        <v>400</v>
      </c>
      <c r="I15" s="157">
        <v>400</v>
      </c>
      <c r="J15" s="157">
        <v>400</v>
      </c>
      <c r="K15" s="157">
        <v>400</v>
      </c>
      <c r="L15" s="157">
        <v>400</v>
      </c>
      <c r="M15" s="157">
        <v>400</v>
      </c>
      <c r="N15" s="157">
        <v>400</v>
      </c>
      <c r="O15" s="157">
        <v>400</v>
      </c>
      <c r="P15" s="153">
        <f t="shared" ref="P15:P32" si="1">SUM(D15:O15)</f>
        <v>4800</v>
      </c>
    </row>
    <row r="16" spans="1:16" x14ac:dyDescent="0.25">
      <c r="A16" s="4" t="s">
        <v>167</v>
      </c>
      <c r="B16" s="158">
        <v>3633.84</v>
      </c>
      <c r="C16" s="158">
        <f t="shared" si="0"/>
        <v>1816.92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  <c r="N16" s="157"/>
      <c r="O16" s="157"/>
      <c r="P16" s="153">
        <f t="shared" si="1"/>
        <v>0</v>
      </c>
    </row>
    <row r="17" spans="1:16" x14ac:dyDescent="0.25">
      <c r="A17" s="4" t="s">
        <v>166</v>
      </c>
      <c r="B17" s="158">
        <v>5261.76</v>
      </c>
      <c r="C17" s="158">
        <f t="shared" si="0"/>
        <v>2630.88</v>
      </c>
      <c r="D17" s="157">
        <v>200</v>
      </c>
      <c r="E17" s="157">
        <v>200</v>
      </c>
      <c r="F17" s="157">
        <v>200</v>
      </c>
      <c r="G17" s="157">
        <v>200</v>
      </c>
      <c r="H17" s="157">
        <v>200</v>
      </c>
      <c r="I17" s="157">
        <v>200</v>
      </c>
      <c r="J17" s="157">
        <v>200</v>
      </c>
      <c r="K17" s="157">
        <v>200</v>
      </c>
      <c r="L17" s="157">
        <v>200</v>
      </c>
      <c r="M17" s="157">
        <v>200</v>
      </c>
      <c r="N17" s="157">
        <v>200</v>
      </c>
      <c r="O17" s="157">
        <v>200</v>
      </c>
      <c r="P17" s="153">
        <f t="shared" si="1"/>
        <v>2400</v>
      </c>
    </row>
    <row r="18" spans="1:16" x14ac:dyDescent="0.25">
      <c r="A18" s="4" t="s">
        <v>165</v>
      </c>
      <c r="B18" s="158">
        <v>1789.37</v>
      </c>
      <c r="C18" s="158">
        <f t="shared" si="0"/>
        <v>894.68499999999995</v>
      </c>
      <c r="D18" s="157">
        <f t="shared" ref="D18:O18" si="2">SUM(D15:D17)*0.1</f>
        <v>60</v>
      </c>
      <c r="E18" s="157">
        <f t="shared" si="2"/>
        <v>60</v>
      </c>
      <c r="F18" s="157">
        <f t="shared" si="2"/>
        <v>60</v>
      </c>
      <c r="G18" s="157">
        <f t="shared" si="2"/>
        <v>60</v>
      </c>
      <c r="H18" s="157">
        <f t="shared" si="2"/>
        <v>60</v>
      </c>
      <c r="I18" s="157">
        <f t="shared" si="2"/>
        <v>60</v>
      </c>
      <c r="J18" s="157">
        <f t="shared" si="2"/>
        <v>60</v>
      </c>
      <c r="K18" s="157">
        <f t="shared" si="2"/>
        <v>60</v>
      </c>
      <c r="L18" s="157">
        <f t="shared" si="2"/>
        <v>60</v>
      </c>
      <c r="M18" s="157">
        <f t="shared" si="2"/>
        <v>60</v>
      </c>
      <c r="N18" s="157">
        <f t="shared" si="2"/>
        <v>60</v>
      </c>
      <c r="O18" s="157">
        <f t="shared" si="2"/>
        <v>60</v>
      </c>
      <c r="P18" s="153">
        <f t="shared" si="1"/>
        <v>720</v>
      </c>
    </row>
    <row r="19" spans="1:16" x14ac:dyDescent="0.25">
      <c r="A19" s="4" t="s">
        <v>164</v>
      </c>
      <c r="B19" s="158">
        <v>1100</v>
      </c>
      <c r="C19" s="158">
        <f t="shared" si="0"/>
        <v>550</v>
      </c>
      <c r="D19" s="157"/>
      <c r="E19" s="157"/>
      <c r="F19" s="157"/>
      <c r="G19" s="157"/>
      <c r="H19" s="157"/>
      <c r="I19" s="157"/>
      <c r="J19" s="157">
        <f>900</f>
        <v>900</v>
      </c>
      <c r="K19" s="157"/>
      <c r="L19" s="157"/>
      <c r="M19" s="157"/>
      <c r="N19" s="157"/>
      <c r="O19" s="157"/>
      <c r="P19" s="153">
        <f t="shared" si="1"/>
        <v>900</v>
      </c>
    </row>
    <row r="20" spans="1:16" x14ac:dyDescent="0.25">
      <c r="A20" s="4" t="s">
        <v>163</v>
      </c>
      <c r="B20" s="158">
        <v>480</v>
      </c>
      <c r="C20" s="158">
        <f t="shared" si="0"/>
        <v>240</v>
      </c>
      <c r="D20" s="157"/>
      <c r="E20" s="157"/>
      <c r="F20" s="157"/>
      <c r="G20" s="157"/>
      <c r="H20" s="157"/>
      <c r="I20" s="157"/>
      <c r="J20" s="157">
        <v>50</v>
      </c>
      <c r="K20" s="157">
        <v>50</v>
      </c>
      <c r="L20" s="157">
        <v>50</v>
      </c>
      <c r="M20" s="157">
        <v>50</v>
      </c>
      <c r="N20" s="157">
        <v>50</v>
      </c>
      <c r="O20" s="157"/>
      <c r="P20" s="153">
        <f t="shared" si="1"/>
        <v>250</v>
      </c>
    </row>
    <row r="21" spans="1:16" x14ac:dyDescent="0.25">
      <c r="A21" s="4" t="s">
        <v>162</v>
      </c>
      <c r="B21" s="158">
        <v>5250</v>
      </c>
      <c r="C21" s="158">
        <f t="shared" si="0"/>
        <v>2625</v>
      </c>
      <c r="D21" s="157"/>
      <c r="E21" s="157"/>
      <c r="F21" s="157"/>
      <c r="G21" s="157"/>
      <c r="H21" s="157"/>
      <c r="I21" s="157"/>
      <c r="J21" s="157"/>
      <c r="K21" s="157">
        <v>1400</v>
      </c>
      <c r="L21" s="157">
        <v>500</v>
      </c>
      <c r="M21" s="157">
        <v>600</v>
      </c>
      <c r="N21" s="157"/>
      <c r="O21" s="157"/>
      <c r="P21" s="153">
        <f t="shared" si="1"/>
        <v>2500</v>
      </c>
    </row>
    <row r="22" spans="1:16" x14ac:dyDescent="0.25">
      <c r="A22" s="4" t="s">
        <v>161</v>
      </c>
      <c r="B22" s="158">
        <v>3000</v>
      </c>
      <c r="C22" s="158">
        <f t="shared" si="0"/>
        <v>1500</v>
      </c>
      <c r="D22" s="157"/>
      <c r="E22" s="157"/>
      <c r="F22" s="157"/>
      <c r="G22" s="157">
        <v>300</v>
      </c>
      <c r="H22" s="157">
        <v>300</v>
      </c>
      <c r="I22" s="157">
        <v>300</v>
      </c>
      <c r="J22" s="157">
        <v>300</v>
      </c>
      <c r="K22" s="157">
        <v>300</v>
      </c>
      <c r="L22" s="157"/>
      <c r="M22" s="157"/>
      <c r="N22" s="157"/>
      <c r="O22" s="157"/>
      <c r="P22" s="153">
        <f t="shared" si="1"/>
        <v>1500</v>
      </c>
    </row>
    <row r="23" spans="1:16" x14ac:dyDescent="0.25">
      <c r="A23" s="4" t="s">
        <v>160</v>
      </c>
      <c r="B23" s="158">
        <v>12000</v>
      </c>
      <c r="C23" s="158">
        <f t="shared" si="0"/>
        <v>6000</v>
      </c>
      <c r="D23" s="157"/>
      <c r="E23" s="157">
        <v>500</v>
      </c>
      <c r="F23" s="157">
        <v>500</v>
      </c>
      <c r="G23" s="157">
        <v>500</v>
      </c>
      <c r="H23" s="157">
        <v>500</v>
      </c>
      <c r="I23" s="157">
        <v>500</v>
      </c>
      <c r="J23" s="157">
        <v>500</v>
      </c>
      <c r="K23" s="157">
        <v>500</v>
      </c>
      <c r="L23" s="157">
        <v>500</v>
      </c>
      <c r="M23" s="157">
        <v>500</v>
      </c>
      <c r="N23" s="157">
        <v>500</v>
      </c>
      <c r="O23" s="157">
        <v>500</v>
      </c>
      <c r="P23" s="153">
        <f t="shared" si="1"/>
        <v>5500</v>
      </c>
    </row>
    <row r="24" spans="1:16" x14ac:dyDescent="0.25">
      <c r="A24" s="4" t="s">
        <v>159</v>
      </c>
      <c r="B24" s="158">
        <v>500</v>
      </c>
      <c r="C24" s="158">
        <f t="shared" si="0"/>
        <v>250</v>
      </c>
      <c r="D24" s="157"/>
      <c r="E24" s="157"/>
      <c r="F24" s="157"/>
      <c r="G24" s="157"/>
      <c r="H24" s="157"/>
      <c r="I24" s="157"/>
      <c r="J24" s="157">
        <v>250</v>
      </c>
      <c r="K24" s="157"/>
      <c r="L24" s="157"/>
      <c r="M24" s="157"/>
      <c r="N24" s="157"/>
      <c r="O24" s="157"/>
      <c r="P24" s="153">
        <f t="shared" si="1"/>
        <v>250</v>
      </c>
    </row>
    <row r="25" spans="1:16" x14ac:dyDescent="0.25">
      <c r="A25" s="4" t="s">
        <v>158</v>
      </c>
      <c r="B25" s="158">
        <v>800</v>
      </c>
      <c r="C25" s="158">
        <f t="shared" si="0"/>
        <v>400</v>
      </c>
      <c r="D25" s="157"/>
      <c r="E25" s="157"/>
      <c r="F25" s="157"/>
      <c r="G25" s="157"/>
      <c r="H25" s="157"/>
      <c r="I25" s="157"/>
      <c r="J25" s="157"/>
      <c r="K25" s="157">
        <v>400</v>
      </c>
      <c r="L25" s="157"/>
      <c r="M25" s="157"/>
      <c r="N25" s="157"/>
      <c r="O25" s="157"/>
      <c r="P25" s="153">
        <f t="shared" si="1"/>
        <v>400</v>
      </c>
    </row>
    <row r="26" spans="1:16" x14ac:dyDescent="0.25">
      <c r="A26" s="4" t="s">
        <v>157</v>
      </c>
      <c r="B26" s="158">
        <v>4375</v>
      </c>
      <c r="C26" s="158">
        <f t="shared" si="0"/>
        <v>2187.5</v>
      </c>
      <c r="D26" s="157"/>
      <c r="E26" s="157">
        <v>500</v>
      </c>
      <c r="F26" s="157">
        <v>500</v>
      </c>
      <c r="G26" s="157">
        <v>500</v>
      </c>
      <c r="H26" s="157"/>
      <c r="I26" s="157"/>
      <c r="J26" s="157"/>
      <c r="K26" s="157">
        <v>500</v>
      </c>
      <c r="L26" s="157"/>
      <c r="M26" s="157"/>
      <c r="N26" s="157"/>
      <c r="O26" s="157"/>
      <c r="P26" s="153">
        <f t="shared" si="1"/>
        <v>2000</v>
      </c>
    </row>
    <row r="27" spans="1:16" x14ac:dyDescent="0.25">
      <c r="A27" s="4" t="s">
        <v>156</v>
      </c>
      <c r="B27" s="158">
        <v>825</v>
      </c>
      <c r="C27" s="158">
        <f t="shared" si="0"/>
        <v>412.5</v>
      </c>
      <c r="D27" s="157"/>
      <c r="E27" s="157"/>
      <c r="F27" s="157"/>
      <c r="G27" s="157"/>
      <c r="H27" s="157"/>
      <c r="I27" s="157"/>
      <c r="J27" s="157">
        <v>400</v>
      </c>
      <c r="K27" s="157"/>
      <c r="L27" s="157"/>
      <c r="M27" s="157"/>
      <c r="N27" s="157"/>
      <c r="O27" s="157"/>
      <c r="P27" s="153">
        <f t="shared" si="1"/>
        <v>400</v>
      </c>
    </row>
    <row r="28" spans="1:16" x14ac:dyDescent="0.25">
      <c r="A28" s="4" t="s">
        <v>155</v>
      </c>
      <c r="B28" s="158">
        <v>1400</v>
      </c>
      <c r="C28" s="158">
        <f t="shared" si="0"/>
        <v>700</v>
      </c>
      <c r="D28" s="157"/>
      <c r="E28" s="157"/>
      <c r="F28" s="157"/>
      <c r="G28" s="157"/>
      <c r="H28" s="157"/>
      <c r="I28" s="157"/>
      <c r="J28" s="157">
        <v>700</v>
      </c>
      <c r="K28" s="157"/>
      <c r="L28" s="157"/>
      <c r="M28" s="157"/>
      <c r="N28" s="157"/>
      <c r="O28" s="157"/>
      <c r="P28" s="153">
        <f t="shared" si="1"/>
        <v>700</v>
      </c>
    </row>
    <row r="29" spans="1:16" x14ac:dyDescent="0.25">
      <c r="A29" s="4" t="s">
        <v>154</v>
      </c>
      <c r="B29" s="158">
        <v>4125.8100000000004</v>
      </c>
      <c r="C29" s="158">
        <f t="shared" si="0"/>
        <v>2062.9050000000002</v>
      </c>
      <c r="D29" s="157">
        <f t="shared" ref="D29:O29" si="3">SUM(D15:D28)*0.1</f>
        <v>66</v>
      </c>
      <c r="E29" s="157">
        <f t="shared" si="3"/>
        <v>166</v>
      </c>
      <c r="F29" s="157">
        <f t="shared" si="3"/>
        <v>166</v>
      </c>
      <c r="G29" s="157">
        <f t="shared" si="3"/>
        <v>196</v>
      </c>
      <c r="H29" s="157">
        <f t="shared" si="3"/>
        <v>146</v>
      </c>
      <c r="I29" s="157">
        <f t="shared" si="3"/>
        <v>146</v>
      </c>
      <c r="J29" s="157">
        <f t="shared" si="3"/>
        <v>376</v>
      </c>
      <c r="K29" s="157">
        <f t="shared" si="3"/>
        <v>381</v>
      </c>
      <c r="L29" s="157">
        <f t="shared" si="3"/>
        <v>171</v>
      </c>
      <c r="M29" s="157">
        <f t="shared" si="3"/>
        <v>181</v>
      </c>
      <c r="N29" s="157">
        <f t="shared" si="3"/>
        <v>121</v>
      </c>
      <c r="O29" s="157">
        <f t="shared" si="3"/>
        <v>116</v>
      </c>
      <c r="P29" s="153">
        <f t="shared" si="1"/>
        <v>2232</v>
      </c>
    </row>
    <row r="30" spans="1:16" x14ac:dyDescent="0.25">
      <c r="B30" s="158">
        <f>SUM(B15:B29)</f>
        <v>53755.159999999996</v>
      </c>
      <c r="C30" s="158">
        <f>SUM(C15:C29)</f>
        <v>26877.579999999998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3">
        <f t="shared" si="1"/>
        <v>0</v>
      </c>
    </row>
    <row r="31" spans="1:16" x14ac:dyDescent="0.25">
      <c r="D31" s="156"/>
      <c r="E31" s="156"/>
      <c r="F31" s="156"/>
      <c r="G31" s="156"/>
      <c r="H31" s="156"/>
      <c r="I31" s="156"/>
      <c r="J31" s="156"/>
      <c r="K31" s="156"/>
      <c r="L31" s="156"/>
      <c r="M31" s="156"/>
      <c r="N31" s="156"/>
      <c r="O31" s="156"/>
      <c r="P31" s="153">
        <f t="shared" si="1"/>
        <v>0</v>
      </c>
    </row>
    <row r="32" spans="1:16" x14ac:dyDescent="0.25">
      <c r="B32" s="151"/>
      <c r="C32" s="155" t="s">
        <v>153</v>
      </c>
      <c r="D32" s="154">
        <f t="shared" ref="D32:O32" si="4">SUM(D15:D29)</f>
        <v>726</v>
      </c>
      <c r="E32" s="154">
        <f t="shared" si="4"/>
        <v>1826</v>
      </c>
      <c r="F32" s="154">
        <f t="shared" si="4"/>
        <v>1826</v>
      </c>
      <c r="G32" s="154">
        <f t="shared" si="4"/>
        <v>2156</v>
      </c>
      <c r="H32" s="154">
        <f t="shared" si="4"/>
        <v>1606</v>
      </c>
      <c r="I32" s="154">
        <f t="shared" si="4"/>
        <v>1606</v>
      </c>
      <c r="J32" s="154">
        <f t="shared" si="4"/>
        <v>4136</v>
      </c>
      <c r="K32" s="154">
        <f t="shared" si="4"/>
        <v>4191</v>
      </c>
      <c r="L32" s="154">
        <f t="shared" si="4"/>
        <v>1881</v>
      </c>
      <c r="M32" s="154">
        <f t="shared" si="4"/>
        <v>1991</v>
      </c>
      <c r="N32" s="154">
        <f t="shared" si="4"/>
        <v>1331</v>
      </c>
      <c r="O32" s="154">
        <f t="shared" si="4"/>
        <v>1276</v>
      </c>
      <c r="P32" s="153">
        <f t="shared" si="1"/>
        <v>24552</v>
      </c>
    </row>
    <row r="34" spans="3:17" x14ac:dyDescent="0.25">
      <c r="C34" s="152" t="s">
        <v>152</v>
      </c>
      <c r="D34" s="151"/>
      <c r="E34" s="151"/>
      <c r="F34" s="150">
        <f t="shared" ref="F34:Q34" si="5">D32</f>
        <v>726</v>
      </c>
      <c r="G34" s="150">
        <f t="shared" si="5"/>
        <v>1826</v>
      </c>
      <c r="H34" s="150">
        <f t="shared" si="5"/>
        <v>1826</v>
      </c>
      <c r="I34" s="150">
        <f t="shared" si="5"/>
        <v>2156</v>
      </c>
      <c r="J34" s="150">
        <f t="shared" si="5"/>
        <v>1606</v>
      </c>
      <c r="K34" s="150">
        <f t="shared" si="5"/>
        <v>1606</v>
      </c>
      <c r="L34" s="150">
        <f t="shared" si="5"/>
        <v>4136</v>
      </c>
      <c r="M34" s="150">
        <f t="shared" si="5"/>
        <v>4191</v>
      </c>
      <c r="N34" s="150">
        <f t="shared" si="5"/>
        <v>1881</v>
      </c>
      <c r="O34" s="150">
        <f t="shared" si="5"/>
        <v>1991</v>
      </c>
      <c r="P34" s="150">
        <f t="shared" si="5"/>
        <v>1331</v>
      </c>
      <c r="Q34" s="150">
        <f t="shared" si="5"/>
        <v>1276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5A28F-6F29-42DC-844F-594817DDAB00}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2"/>
  <sheetViews>
    <sheetView workbookViewId="0">
      <selection activeCell="H29" sqref="H29"/>
    </sheetView>
  </sheetViews>
  <sheetFormatPr defaultRowHeight="13.2" x14ac:dyDescent="0.25"/>
  <cols>
    <col min="1" max="1" width="12" customWidth="1"/>
    <col min="2" max="2" width="10.33203125" customWidth="1"/>
    <col min="3" max="3" width="9.44140625" customWidth="1"/>
    <col min="4" max="4" width="4.33203125" customWidth="1"/>
    <col min="5" max="5" width="11" customWidth="1"/>
    <col min="6" max="6" width="10.33203125" customWidth="1"/>
    <col min="7" max="7" width="4.88671875" customWidth="1"/>
    <col min="8" max="8" width="9.6640625" customWidth="1"/>
  </cols>
  <sheetData>
    <row r="1" spans="1:9" x14ac:dyDescent="0.25">
      <c r="B1" s="11" t="s">
        <v>119</v>
      </c>
      <c r="C1" s="4"/>
      <c r="D1" s="4"/>
      <c r="E1" s="4" t="s">
        <v>121</v>
      </c>
      <c r="F1" s="4"/>
      <c r="G1" s="4"/>
      <c r="H1" s="4" t="s">
        <v>120</v>
      </c>
    </row>
    <row r="2" spans="1:9" x14ac:dyDescent="0.25">
      <c r="B2" s="18"/>
      <c r="C2" s="19"/>
      <c r="D2" s="4"/>
      <c r="E2" s="19"/>
      <c r="F2" s="19"/>
      <c r="G2" s="4"/>
      <c r="H2" s="19"/>
      <c r="I2" s="20"/>
    </row>
    <row r="3" spans="1:9" x14ac:dyDescent="0.25">
      <c r="B3" s="13">
        <v>2011</v>
      </c>
      <c r="C3" s="13">
        <v>2012</v>
      </c>
      <c r="D3" s="12"/>
      <c r="E3" s="13">
        <v>2011</v>
      </c>
      <c r="F3" s="13">
        <v>2012</v>
      </c>
      <c r="G3" s="12"/>
      <c r="H3" s="13">
        <v>2011</v>
      </c>
      <c r="I3" s="13">
        <v>2012</v>
      </c>
    </row>
    <row r="4" spans="1:9" x14ac:dyDescent="0.25">
      <c r="A4" s="11" t="s">
        <v>116</v>
      </c>
      <c r="B4" s="14">
        <v>681264</v>
      </c>
      <c r="C4" s="14">
        <v>508315</v>
      </c>
      <c r="D4" s="15"/>
      <c r="E4" s="14">
        <v>69164</v>
      </c>
      <c r="F4" s="14">
        <v>63500</v>
      </c>
      <c r="G4" s="15"/>
      <c r="H4" s="14">
        <v>30500</v>
      </c>
      <c r="I4" s="14">
        <v>0</v>
      </c>
    </row>
    <row r="5" spans="1:9" x14ac:dyDescent="0.25">
      <c r="A5" s="11" t="s">
        <v>117</v>
      </c>
      <c r="B5" s="14">
        <v>819790</v>
      </c>
      <c r="C5" s="14">
        <v>547675</v>
      </c>
      <c r="D5" s="15"/>
      <c r="E5" s="14">
        <v>96398</v>
      </c>
      <c r="F5" s="14">
        <v>93050</v>
      </c>
      <c r="G5" s="15"/>
      <c r="H5" s="14">
        <v>20000</v>
      </c>
      <c r="I5" s="14">
        <v>20000</v>
      </c>
    </row>
    <row r="6" spans="1:9" x14ac:dyDescent="0.25">
      <c r="A6" s="11" t="s">
        <v>118</v>
      </c>
      <c r="B6" s="16">
        <f>SUM(B4-B5)</f>
        <v>-138526</v>
      </c>
      <c r="C6" s="16">
        <f>SUM(C4-C5)</f>
        <v>-39360</v>
      </c>
      <c r="D6" s="17"/>
      <c r="E6" s="16">
        <f>SUM(E4-E5)</f>
        <v>-27234</v>
      </c>
      <c r="F6" s="16">
        <f>SUM(F4-F5)</f>
        <v>-29550</v>
      </c>
      <c r="G6" s="17"/>
      <c r="H6" s="16">
        <f>SUM(H4-H5)</f>
        <v>10500</v>
      </c>
      <c r="I6" s="16">
        <f>SUM(I4-I5)</f>
        <v>-20000</v>
      </c>
    </row>
    <row r="10" spans="1:9" x14ac:dyDescent="0.25">
      <c r="A10" s="21"/>
      <c r="B10" s="21"/>
    </row>
    <row r="12" spans="1:9" x14ac:dyDescent="0.25">
      <c r="A12" s="4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6</vt:i4>
      </vt:variant>
    </vt:vector>
  </HeadingPairs>
  <TitlesOfParts>
    <vt:vector size="14" baseType="lpstr">
      <vt:lpstr>Income Statement</vt:lpstr>
      <vt:lpstr>BS</vt:lpstr>
      <vt:lpstr>CF</vt:lpstr>
      <vt:lpstr>BS wrksht</vt:lpstr>
      <vt:lpstr>P&amp;L Monthly Totals</vt:lpstr>
      <vt:lpstr>BR Calculations</vt:lpstr>
      <vt:lpstr>Sheet1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2015-01-23T17:20:18Z</cp:lastPrinted>
  <dcterms:created xsi:type="dcterms:W3CDTF">2009-06-10T22:28:54Z</dcterms:created>
  <dcterms:modified xsi:type="dcterms:W3CDTF">2023-01-18T18:18:51Z</dcterms:modified>
</cp:coreProperties>
</file>