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uceross/Documents/2 - Ross - Professional/4 - WWA/WWA1 - Organization/F - Financial Results/2022 Financial information/"/>
    </mc:Choice>
  </mc:AlternateContent>
  <xr:revisionPtr revIDLastSave="0" documentId="8_{645A3F0B-9AFA-E243-94CB-3600C40FF004}" xr6:coauthVersionLast="47" xr6:coauthVersionMax="47" xr10:uidLastSave="{00000000-0000-0000-0000-000000000000}"/>
  <bookViews>
    <workbookView xWindow="4860" yWindow="2660" windowWidth="27380" windowHeight="17300" xr2:uid="{B7F06C89-975A-524A-AE75-D46C93282798}"/>
  </bookViews>
  <sheets>
    <sheet name="BBB standards" sheetId="1" r:id="rId1"/>
    <sheet name="2022 FinResults in compile " sheetId="7" r:id="rId2"/>
    <sheet name="2021 FinResults in compile form" sheetId="2" r:id="rId3"/>
    <sheet name="2020 P&amp;L" sheetId="3" r:id="rId4"/>
    <sheet name="2019 P&amp;L" sheetId="4" r:id="rId5"/>
    <sheet name="2018 P&amp;L" sheetId="5" r:id="rId6"/>
    <sheet name="2017 P&amp;L" sheetId="6" r:id="rId7"/>
  </sheets>
  <definedNames>
    <definedName name="_xlnm.Print_Area" localSheetId="6">'2017 P&amp;L'!$A$1:$G$70</definedName>
    <definedName name="_xlnm.Print_Area" localSheetId="4">'2019 P&amp;L'!$A$1:$G$70</definedName>
    <definedName name="_xlnm.Print_Area" localSheetId="3">'2020 P&amp;L'!$A$1:$G$70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7" i="7" l="1"/>
  <c r="D56" i="7"/>
  <c r="D55" i="7"/>
  <c r="D18" i="1" l="1"/>
  <c r="E18" i="1" s="1"/>
  <c r="D17" i="1"/>
  <c r="C18" i="1"/>
  <c r="D8" i="1"/>
  <c r="E8" i="1" s="1"/>
  <c r="C8" i="1"/>
  <c r="D58" i="7"/>
  <c r="M21" i="7"/>
  <c r="J20" i="7"/>
  <c r="I20" i="7"/>
  <c r="G20" i="7"/>
  <c r="F20" i="7"/>
  <c r="E20" i="7"/>
  <c r="H19" i="7"/>
  <c r="H18" i="7"/>
  <c r="H17" i="7"/>
  <c r="H20" i="7" s="1"/>
  <c r="M16" i="7"/>
  <c r="H11" i="7"/>
  <c r="H10" i="7"/>
  <c r="J8" i="7"/>
  <c r="J14" i="7" s="1"/>
  <c r="J22" i="7" s="1"/>
  <c r="J26" i="7" s="1"/>
  <c r="I24" i="7" s="1"/>
  <c r="I8" i="7"/>
  <c r="I14" i="7" s="1"/>
  <c r="I22" i="7" s="1"/>
  <c r="H8" i="7"/>
  <c r="G8" i="7"/>
  <c r="G14" i="7" s="1"/>
  <c r="G22" i="7" s="1"/>
  <c r="G26" i="7" s="1"/>
  <c r="F24" i="7" s="1"/>
  <c r="F8" i="7"/>
  <c r="F14" i="7" s="1"/>
  <c r="F22" i="7" s="1"/>
  <c r="F26" i="7" s="1"/>
  <c r="E8" i="7"/>
  <c r="E14" i="7" s="1"/>
  <c r="E22" i="7" s="1"/>
  <c r="H6" i="7"/>
  <c r="H4" i="7"/>
  <c r="H14" i="7" s="1"/>
  <c r="E20" i="2"/>
  <c r="F14" i="2"/>
  <c r="E14" i="2"/>
  <c r="E8" i="2"/>
  <c r="D57" i="2"/>
  <c r="D56" i="2"/>
  <c r="D55" i="2"/>
  <c r="B17" i="1"/>
  <c r="F20" i="2"/>
  <c r="F8" i="2"/>
  <c r="E7" i="1"/>
  <c r="H19" i="2"/>
  <c r="H18" i="2"/>
  <c r="H17" i="2"/>
  <c r="C5" i="1" s="1"/>
  <c r="H11" i="2"/>
  <c r="H8" i="2"/>
  <c r="H6" i="2"/>
  <c r="H4" i="2"/>
  <c r="I8" i="2"/>
  <c r="I14" i="2" s="1"/>
  <c r="D14" i="1" s="1"/>
  <c r="J8" i="2"/>
  <c r="J14" i="2" s="1"/>
  <c r="H10" i="2"/>
  <c r="I20" i="2"/>
  <c r="D4" i="1" s="1"/>
  <c r="J20" i="2"/>
  <c r="D3" i="1" s="1"/>
  <c r="M21" i="2"/>
  <c r="M16" i="2"/>
  <c r="C4" i="1"/>
  <c r="C3" i="1"/>
  <c r="C13" i="1"/>
  <c r="C14" i="1"/>
  <c r="J19" i="3"/>
  <c r="J20" i="6"/>
  <c r="H22" i="7" l="1"/>
  <c r="H26" i="7" s="1"/>
  <c r="C57" i="7"/>
  <c r="C56" i="7"/>
  <c r="C55" i="7"/>
  <c r="I26" i="7"/>
  <c r="E22" i="2"/>
  <c r="E17" i="1"/>
  <c r="F22" i="2"/>
  <c r="I22" i="2"/>
  <c r="D58" i="2"/>
  <c r="C55" i="2" s="1"/>
  <c r="J22" i="2"/>
  <c r="J26" i="2" s="1"/>
  <c r="I24" i="2" s="1"/>
  <c r="I26" i="2" s="1"/>
  <c r="G20" i="2"/>
  <c r="H14" i="2"/>
  <c r="D15" i="1" s="1"/>
  <c r="H20" i="2"/>
  <c r="G8" i="2"/>
  <c r="E3" i="1"/>
  <c r="E4" i="1"/>
  <c r="E14" i="1"/>
  <c r="D13" i="1"/>
  <c r="E13" i="1" s="1"/>
  <c r="F66" i="6"/>
  <c r="E66" i="6"/>
  <c r="E67" i="6" s="1"/>
  <c r="B66" i="6"/>
  <c r="A66" i="6"/>
  <c r="G65" i="6"/>
  <c r="C65" i="6"/>
  <c r="G64" i="6"/>
  <c r="C64" i="6"/>
  <c r="G63" i="6"/>
  <c r="C63" i="6"/>
  <c r="G62" i="6"/>
  <c r="C62" i="6"/>
  <c r="G61" i="6"/>
  <c r="C61" i="6"/>
  <c r="G60" i="6"/>
  <c r="C60" i="6"/>
  <c r="G59" i="6"/>
  <c r="C59" i="6"/>
  <c r="C66" i="6" s="1"/>
  <c r="G58" i="6"/>
  <c r="C58" i="6"/>
  <c r="G57" i="6"/>
  <c r="C57" i="6"/>
  <c r="G56" i="6"/>
  <c r="C56" i="6"/>
  <c r="F53" i="6"/>
  <c r="E53" i="6"/>
  <c r="B53" i="6"/>
  <c r="A53" i="6"/>
  <c r="A67" i="6" s="1"/>
  <c r="C67" i="6" s="1"/>
  <c r="G52" i="6"/>
  <c r="C52" i="6"/>
  <c r="G51" i="6"/>
  <c r="C51" i="6"/>
  <c r="C53" i="6" s="1"/>
  <c r="G50" i="6"/>
  <c r="C50" i="6"/>
  <c r="G49" i="6"/>
  <c r="C49" i="6"/>
  <c r="G48" i="6"/>
  <c r="C48" i="6"/>
  <c r="G47" i="6"/>
  <c r="G53" i="6" s="1"/>
  <c r="C47" i="6"/>
  <c r="F44" i="6"/>
  <c r="F67" i="6" s="1"/>
  <c r="E44" i="6"/>
  <c r="B44" i="6"/>
  <c r="B67" i="6" s="1"/>
  <c r="A44" i="6"/>
  <c r="G43" i="6"/>
  <c r="C43" i="6"/>
  <c r="G42" i="6"/>
  <c r="C42" i="6"/>
  <c r="G41" i="6"/>
  <c r="C41" i="6"/>
  <c r="G40" i="6"/>
  <c r="C40" i="6"/>
  <c r="G39" i="6"/>
  <c r="C39" i="6"/>
  <c r="G38" i="6"/>
  <c r="C38" i="6"/>
  <c r="G37" i="6"/>
  <c r="C37" i="6"/>
  <c r="G36" i="6"/>
  <c r="C36" i="6"/>
  <c r="G35" i="6"/>
  <c r="C35" i="6"/>
  <c r="C44" i="6" s="1"/>
  <c r="G34" i="6"/>
  <c r="G44" i="6" s="1"/>
  <c r="C34" i="6"/>
  <c r="G33" i="6"/>
  <c r="C33" i="6"/>
  <c r="G32" i="6"/>
  <c r="C32" i="6"/>
  <c r="G26" i="6"/>
  <c r="F26" i="6"/>
  <c r="E26" i="6"/>
  <c r="C26" i="6"/>
  <c r="B26" i="6"/>
  <c r="A26" i="6"/>
  <c r="G22" i="6"/>
  <c r="C22" i="6"/>
  <c r="G21" i="6"/>
  <c r="C21" i="6"/>
  <c r="G20" i="6"/>
  <c r="C20" i="6"/>
  <c r="F17" i="6"/>
  <c r="F28" i="6" s="1"/>
  <c r="E17" i="6"/>
  <c r="E28" i="6" s="1"/>
  <c r="B17" i="6"/>
  <c r="B28" i="6" s="1"/>
  <c r="A17" i="6"/>
  <c r="A28" i="6" s="1"/>
  <c r="G15" i="6"/>
  <c r="C15" i="6"/>
  <c r="G14" i="6"/>
  <c r="C14" i="6"/>
  <c r="G13" i="6"/>
  <c r="C13" i="6"/>
  <c r="G12" i="6"/>
  <c r="C12" i="6"/>
  <c r="G11" i="6"/>
  <c r="C11" i="6"/>
  <c r="G10" i="6"/>
  <c r="C10" i="6"/>
  <c r="G9" i="6"/>
  <c r="G17" i="6" s="1"/>
  <c r="G28" i="6" s="1"/>
  <c r="C9" i="6"/>
  <c r="C17" i="6" s="1"/>
  <c r="C28" i="6" s="1"/>
  <c r="C58" i="7" l="1"/>
  <c r="C57" i="2"/>
  <c r="C56" i="2"/>
  <c r="G14" i="2"/>
  <c r="G22" i="2" s="1"/>
  <c r="H22" i="2"/>
  <c r="H26" i="2" s="1"/>
  <c r="B70" i="6"/>
  <c r="G67" i="6"/>
  <c r="A70" i="6"/>
  <c r="C70" i="6"/>
  <c r="F70" i="6"/>
  <c r="G70" i="6" s="1"/>
  <c r="G66" i="6"/>
  <c r="C58" i="2" l="1"/>
  <c r="G26" i="2"/>
  <c r="F24" i="2" s="1"/>
  <c r="F26" i="2" s="1"/>
  <c r="E16" i="1"/>
  <c r="N63" i="5"/>
  <c r="N62" i="5"/>
  <c r="M59" i="5"/>
  <c r="M61" i="5" s="1"/>
  <c r="L59" i="5"/>
  <c r="L61" i="5" s="1"/>
  <c r="K59" i="5"/>
  <c r="K61" i="5" s="1"/>
  <c r="J59" i="5"/>
  <c r="J61" i="5" s="1"/>
  <c r="I59" i="5"/>
  <c r="H59" i="5"/>
  <c r="G59" i="5"/>
  <c r="F59" i="5"/>
  <c r="E59" i="5"/>
  <c r="D59" i="5"/>
  <c r="C59" i="5"/>
  <c r="B59" i="5"/>
  <c r="N58" i="5"/>
  <c r="N57" i="5"/>
  <c r="N56" i="5"/>
  <c r="N55" i="5"/>
  <c r="N54" i="5"/>
  <c r="N53" i="5"/>
  <c r="N52" i="5"/>
  <c r="N51" i="5"/>
  <c r="N50" i="5"/>
  <c r="N49" i="5"/>
  <c r="N48" i="5"/>
  <c r="N47" i="5"/>
  <c r="M46" i="5"/>
  <c r="L46" i="5"/>
  <c r="K46" i="5"/>
  <c r="J46" i="5"/>
  <c r="I46" i="5"/>
  <c r="H46" i="5"/>
  <c r="G46" i="5"/>
  <c r="F46" i="5"/>
  <c r="E46" i="5"/>
  <c r="D46" i="5"/>
  <c r="C46" i="5"/>
  <c r="B46" i="5"/>
  <c r="B61" i="5" s="1"/>
  <c r="N45" i="5"/>
  <c r="N44" i="5"/>
  <c r="N43" i="5"/>
  <c r="N42" i="5"/>
  <c r="N41" i="5"/>
  <c r="N40" i="5"/>
  <c r="N39" i="5"/>
  <c r="N38" i="5"/>
  <c r="M37" i="5"/>
  <c r="L37" i="5"/>
  <c r="K37" i="5"/>
  <c r="J37" i="5"/>
  <c r="I37" i="5"/>
  <c r="H37" i="5"/>
  <c r="G37" i="5"/>
  <c r="F37" i="5"/>
  <c r="E37" i="5"/>
  <c r="D37" i="5"/>
  <c r="C37" i="5"/>
  <c r="B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3" i="5"/>
  <c r="N22" i="5"/>
  <c r="N20" i="5"/>
  <c r="M19" i="5"/>
  <c r="L19" i="5"/>
  <c r="K19" i="5"/>
  <c r="J19" i="5"/>
  <c r="I19" i="5"/>
  <c r="H19" i="5"/>
  <c r="G19" i="5"/>
  <c r="F19" i="5"/>
  <c r="F21" i="5" s="1"/>
  <c r="E19" i="5"/>
  <c r="E21" i="5" s="1"/>
  <c r="D19" i="5"/>
  <c r="C19" i="5"/>
  <c r="B19" i="5"/>
  <c r="N18" i="5"/>
  <c r="N17" i="5"/>
  <c r="N16" i="5"/>
  <c r="N15" i="5"/>
  <c r="N14" i="5"/>
  <c r="N13" i="5"/>
  <c r="N12" i="5"/>
  <c r="N11" i="5"/>
  <c r="M10" i="5"/>
  <c r="M21" i="5" s="1"/>
  <c r="L10" i="5"/>
  <c r="L21" i="5" s="1"/>
  <c r="K10" i="5"/>
  <c r="K21" i="5" s="1"/>
  <c r="J10" i="5"/>
  <c r="J21" i="5" s="1"/>
  <c r="I10" i="5"/>
  <c r="I21" i="5" s="1"/>
  <c r="H10" i="5"/>
  <c r="G10" i="5"/>
  <c r="G21" i="5" s="1"/>
  <c r="F10" i="5"/>
  <c r="E10" i="5"/>
  <c r="D10" i="5"/>
  <c r="C10" i="5"/>
  <c r="B10" i="5"/>
  <c r="B21" i="5" s="1"/>
  <c r="N9" i="5"/>
  <c r="N8" i="5"/>
  <c r="N7" i="5"/>
  <c r="N6" i="5"/>
  <c r="N5" i="5"/>
  <c r="N4" i="5"/>
  <c r="N3" i="5"/>
  <c r="N2" i="5"/>
  <c r="E6" i="1" l="1"/>
  <c r="C15" i="1"/>
  <c r="E15" i="1" s="1"/>
  <c r="N10" i="5"/>
  <c r="N46" i="5"/>
  <c r="N37" i="5"/>
  <c r="H61" i="5"/>
  <c r="I61" i="5"/>
  <c r="I64" i="5" s="1"/>
  <c r="G61" i="5"/>
  <c r="G64" i="5" s="1"/>
  <c r="E61" i="5"/>
  <c r="E64" i="5" s="1"/>
  <c r="F61" i="5"/>
  <c r="F64" i="5" s="1"/>
  <c r="N19" i="5"/>
  <c r="M64" i="5"/>
  <c r="N59" i="5"/>
  <c r="D21" i="5"/>
  <c r="C61" i="5"/>
  <c r="C21" i="5"/>
  <c r="J64" i="5"/>
  <c r="L64" i="5"/>
  <c r="B64" i="5"/>
  <c r="K64" i="5"/>
  <c r="H21" i="5"/>
  <c r="H64" i="5" s="1"/>
  <c r="D61" i="5"/>
  <c r="D5" i="1" l="1"/>
  <c r="E5" i="1" s="1"/>
  <c r="D64" i="5"/>
  <c r="C64" i="5"/>
  <c r="N61" i="5"/>
  <c r="N21" i="5"/>
  <c r="N64" i="5" s="1"/>
  <c r="F66" i="4" l="1"/>
  <c r="E66" i="4"/>
  <c r="G66" i="4" s="1"/>
  <c r="B66" i="4"/>
  <c r="A66" i="4"/>
  <c r="G65" i="4"/>
  <c r="C65" i="4"/>
  <c r="G64" i="4"/>
  <c r="C64" i="4"/>
  <c r="G63" i="4"/>
  <c r="C63" i="4"/>
  <c r="G62" i="4"/>
  <c r="C62" i="4"/>
  <c r="G61" i="4"/>
  <c r="C61" i="4"/>
  <c r="G60" i="4"/>
  <c r="C60" i="4"/>
  <c r="G59" i="4"/>
  <c r="C59" i="4"/>
  <c r="C66" i="4" s="1"/>
  <c r="G58" i="4"/>
  <c r="C58" i="4"/>
  <c r="G57" i="4"/>
  <c r="C57" i="4"/>
  <c r="G56" i="4"/>
  <c r="C56" i="4"/>
  <c r="F53" i="4"/>
  <c r="E53" i="4"/>
  <c r="B53" i="4"/>
  <c r="A53" i="4"/>
  <c r="A67" i="4" s="1"/>
  <c r="G52" i="4"/>
  <c r="C52" i="4"/>
  <c r="G51" i="4"/>
  <c r="C51" i="4"/>
  <c r="C53" i="4" s="1"/>
  <c r="G50" i="4"/>
  <c r="C50" i="4"/>
  <c r="G49" i="4"/>
  <c r="C49" i="4"/>
  <c r="G48" i="4"/>
  <c r="C48" i="4"/>
  <c r="G47" i="4"/>
  <c r="G53" i="4" s="1"/>
  <c r="C47" i="4"/>
  <c r="F44" i="4"/>
  <c r="F67" i="4" s="1"/>
  <c r="E44" i="4"/>
  <c r="B44" i="4"/>
  <c r="B67" i="4" s="1"/>
  <c r="A44" i="4"/>
  <c r="G43" i="4"/>
  <c r="C43" i="4"/>
  <c r="G42" i="4"/>
  <c r="C42" i="4"/>
  <c r="G41" i="4"/>
  <c r="C41" i="4"/>
  <c r="G40" i="4"/>
  <c r="C40" i="4"/>
  <c r="G39" i="4"/>
  <c r="C39" i="4"/>
  <c r="G38" i="4"/>
  <c r="C38" i="4"/>
  <c r="G37" i="4"/>
  <c r="C37" i="4"/>
  <c r="G36" i="4"/>
  <c r="C36" i="4"/>
  <c r="G35" i="4"/>
  <c r="C35" i="4"/>
  <c r="C44" i="4" s="1"/>
  <c r="G34" i="4"/>
  <c r="G44" i="4" s="1"/>
  <c r="C34" i="4"/>
  <c r="G33" i="4"/>
  <c r="C33" i="4"/>
  <c r="G32" i="4"/>
  <c r="C32" i="4"/>
  <c r="G26" i="4"/>
  <c r="F26" i="4"/>
  <c r="E26" i="4"/>
  <c r="C26" i="4"/>
  <c r="B26" i="4"/>
  <c r="A26" i="4"/>
  <c r="G22" i="4"/>
  <c r="C22" i="4"/>
  <c r="G21" i="4"/>
  <c r="C21" i="4"/>
  <c r="G20" i="4"/>
  <c r="C20" i="4"/>
  <c r="F17" i="4"/>
  <c r="F28" i="4" s="1"/>
  <c r="E17" i="4"/>
  <c r="E28" i="4" s="1"/>
  <c r="B17" i="4"/>
  <c r="B28" i="4" s="1"/>
  <c r="A17" i="4"/>
  <c r="A28" i="4" s="1"/>
  <c r="G15" i="4"/>
  <c r="C15" i="4"/>
  <c r="G14" i="4"/>
  <c r="C14" i="4"/>
  <c r="G13" i="4"/>
  <c r="C13" i="4"/>
  <c r="G12" i="4"/>
  <c r="C12" i="4"/>
  <c r="G11" i="4"/>
  <c r="C11" i="4"/>
  <c r="G10" i="4"/>
  <c r="C10" i="4"/>
  <c r="G9" i="4"/>
  <c r="G17" i="4" s="1"/>
  <c r="G28" i="4" s="1"/>
  <c r="C9" i="4"/>
  <c r="C17" i="4" s="1"/>
  <c r="C28" i="4" s="1"/>
  <c r="C67" i="4" l="1"/>
  <c r="A70" i="4"/>
  <c r="B70" i="4"/>
  <c r="C70" i="4"/>
  <c r="F70" i="4"/>
  <c r="G70" i="4" s="1"/>
  <c r="E67" i="4"/>
  <c r="G67" i="4" s="1"/>
  <c r="F66" i="3" l="1"/>
  <c r="E66" i="3"/>
  <c r="E67" i="3" s="1"/>
  <c r="B66" i="3"/>
  <c r="A66" i="3"/>
  <c r="G65" i="3"/>
  <c r="C65" i="3"/>
  <c r="G64" i="3"/>
  <c r="C64" i="3"/>
  <c r="G63" i="3"/>
  <c r="C63" i="3"/>
  <c r="G62" i="3"/>
  <c r="C62" i="3"/>
  <c r="G61" i="3"/>
  <c r="C61" i="3"/>
  <c r="G60" i="3"/>
  <c r="C60" i="3"/>
  <c r="G59" i="3"/>
  <c r="C59" i="3"/>
  <c r="C66" i="3" s="1"/>
  <c r="G58" i="3"/>
  <c r="C58" i="3"/>
  <c r="G57" i="3"/>
  <c r="C57" i="3"/>
  <c r="G56" i="3"/>
  <c r="C56" i="3"/>
  <c r="F53" i="3"/>
  <c r="E53" i="3"/>
  <c r="B53" i="3"/>
  <c r="A53" i="3"/>
  <c r="A67" i="3" s="1"/>
  <c r="C67" i="3" s="1"/>
  <c r="G52" i="3"/>
  <c r="C52" i="3"/>
  <c r="G51" i="3"/>
  <c r="C51" i="3"/>
  <c r="G50" i="3"/>
  <c r="G53" i="3" s="1"/>
  <c r="C50" i="3"/>
  <c r="C53" i="3" s="1"/>
  <c r="G49" i="3"/>
  <c r="C49" i="3"/>
  <c r="G48" i="3"/>
  <c r="C48" i="3"/>
  <c r="G47" i="3"/>
  <c r="C47" i="3"/>
  <c r="F44" i="3"/>
  <c r="F67" i="3" s="1"/>
  <c r="E44" i="3"/>
  <c r="B44" i="3"/>
  <c r="B67" i="3" s="1"/>
  <c r="A44" i="3"/>
  <c r="G43" i="3"/>
  <c r="C43" i="3"/>
  <c r="G42" i="3"/>
  <c r="C42" i="3"/>
  <c r="G41" i="3"/>
  <c r="C41" i="3"/>
  <c r="G40" i="3"/>
  <c r="C40" i="3"/>
  <c r="G39" i="3"/>
  <c r="C39" i="3"/>
  <c r="G38" i="3"/>
  <c r="C38" i="3"/>
  <c r="G37" i="3"/>
  <c r="C37" i="3"/>
  <c r="C44" i="3" s="1"/>
  <c r="G36" i="3"/>
  <c r="C36" i="3"/>
  <c r="G35" i="3"/>
  <c r="C35" i="3"/>
  <c r="G34" i="3"/>
  <c r="G44" i="3" s="1"/>
  <c r="C34" i="3"/>
  <c r="G33" i="3"/>
  <c r="C33" i="3"/>
  <c r="G32" i="3"/>
  <c r="C32" i="3"/>
  <c r="A28" i="3"/>
  <c r="G26" i="3"/>
  <c r="F26" i="3"/>
  <c r="E26" i="3"/>
  <c r="C26" i="3"/>
  <c r="B26" i="3"/>
  <c r="A26" i="3"/>
  <c r="G22" i="3"/>
  <c r="C22" i="3"/>
  <c r="G21" i="3"/>
  <c r="C21" i="3"/>
  <c r="G20" i="3"/>
  <c r="C20" i="3"/>
  <c r="F17" i="3"/>
  <c r="F28" i="3" s="1"/>
  <c r="E17" i="3"/>
  <c r="E28" i="3" s="1"/>
  <c r="B17" i="3"/>
  <c r="B28" i="3" s="1"/>
  <c r="A17" i="3"/>
  <c r="G15" i="3"/>
  <c r="C15" i="3"/>
  <c r="G14" i="3"/>
  <c r="C14" i="3"/>
  <c r="G13" i="3"/>
  <c r="C13" i="3"/>
  <c r="G12" i="3"/>
  <c r="C12" i="3"/>
  <c r="G11" i="3"/>
  <c r="C11" i="3"/>
  <c r="G10" i="3"/>
  <c r="C10" i="3"/>
  <c r="G9" i="3"/>
  <c r="G17" i="3" s="1"/>
  <c r="G28" i="3" s="1"/>
  <c r="C9" i="3"/>
  <c r="C17" i="3" s="1"/>
  <c r="C28" i="3" s="1"/>
  <c r="B70" i="3" l="1"/>
  <c r="A70" i="3"/>
  <c r="C70" i="3"/>
  <c r="F70" i="3"/>
  <c r="G70" i="3" s="1"/>
  <c r="G67" i="3"/>
  <c r="G66" i="3"/>
  <c r="E1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tc={8DE47DA2-392E-304E-938C-18011C6B812A}</author>
  </authors>
  <commentList>
    <comment ref="E20" authorId="0" shapeId="0" xr:uid="{8DE47DA2-392E-304E-938C-18011C6B812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is the total event revenue and does NOT exclude the “cost of direct benefit to the donor” ($401,340—presumably the FMV of what the donors receeived for their contributions.)  But if we were to exclude the benefit $$, it would increase our % which is counter to intent of standard.  Seems like there’s something missiing—cost of sales vs fundraising expenses…  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16286DD5-76FB-C44F-B5B4-0D0182E6467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Dream Hunt raffle, Snowblower raffle, Christmas Bash, West Bend, Lakeshore, multiple A closeouts
</t>
        </r>
      </text>
    </comment>
    <comment ref="A10" authorId="0" shapeId="0" xr:uid="{1AF32E87-B4CE-9B4F-B7A5-4752C16CD4A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 Calendar raffle sales</t>
        </r>
      </text>
    </comment>
    <comment ref="A11" authorId="0" shapeId="0" xr:uid="{2DE98528-5822-7245-8537-685A3F87F68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$300 sustaining monthly donations</t>
        </r>
      </text>
    </comment>
    <comment ref="A14" authorId="0" shapeId="0" xr:uid="{D2613C0A-444D-5D47-9BAF-4794B22CF6C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5" authorId="0" shapeId="0" xr:uid="{79F30D3A-9EAC-6B44-8166-83DAFC2CF5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Giving Tuesday donations, memorial donations and $1200 Lab Puppy auction gross ($700 net)</t>
        </r>
      </text>
    </comment>
    <comment ref="A21" authorId="0" shapeId="0" xr:uid="{C4D311F9-76FE-B443-978B-2B2B964CBE7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2021 Calendar </t>
        </r>
      </text>
    </comment>
    <comment ref="A49" authorId="0" shapeId="0" xr:uid="{C3105711-51A8-8141-B1D5-FFACA794BE7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$594 membesrhip gifts removed from inventory</t>
        </r>
      </text>
    </comment>
    <comment ref="A52" authorId="0" shapeId="0" xr:uid="{F07ECE84-B22B-FF4C-80CD-3ECF5DC5A0B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65" authorId="1" shapeId="0" xr:uid="{F5ED3A2B-F085-4446-92B5-05ECCC1017B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2A5D97AC-D467-9940-BE5A-A8B8FE3BEA6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Lakeshore &amp; Christmas Bash</t>
        </r>
      </text>
    </comment>
    <comment ref="A10" authorId="0" shapeId="0" xr:uid="{E9CDCA47-64DB-EC47-9161-BDEEBFA152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A13" authorId="0" shapeId="0" xr:uid="{57A0022E-716D-1747-AB23-ED42AE3E547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Duck Stamp USFWS portion invoice</t>
        </r>
      </text>
    </comment>
    <comment ref="A14" authorId="0" shapeId="0" xr:uid="{7E6F5F15-3E8D-604D-9A53-924B4623A3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5" authorId="1" shapeId="0" xr:uid="{54B09EEF-D649-9F4C-BAD5-88E1C51E7E3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Top 200 &amp; State meeting donations</t>
        </r>
      </text>
    </comment>
    <comment ref="A36" authorId="0" shapeId="0" xr:uid="{41A25E7E-F5A7-2245-8926-03651B8CA84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$1600 reward shirts budgeted for January </t>
        </r>
      </text>
    </comment>
    <comment ref="A50" authorId="0" shapeId="0" xr:uid="{67F1A97A-C1E3-5449-B742-1F4FB72BCC0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$14,894.15 USFWS duck stamp portion</t>
        </r>
      </text>
    </comment>
    <comment ref="A51" authorId="1" shapeId="0" xr:uid="{325C6E54-8706-7043-80C1-D966CA110430}">
      <text>
        <r>
          <rPr>
            <b/>
            <sz val="9"/>
            <color indexed="81"/>
            <rFont val="Tahoma"/>
            <family val="2"/>
          </rPr>
          <t>Kelcy Boettcher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2" authorId="0" shapeId="0" xr:uid="{737F3FF1-8DE8-8545-8A01-DE0D3DD4B79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Sports show reconciliation of booth expense, WWF annual renewal</t>
        </r>
      </text>
    </comment>
    <comment ref="A65" authorId="1" shapeId="0" xr:uid="{76AE5F9C-C22B-BA4D-AD04-1FBFAA205CB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J2" authorId="0" shapeId="0" xr:uid="{BB282FD5-5DF7-FC43-AE63-171C7D31A0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Truck raffle, state shoot, South Suburban</t>
        </r>
      </text>
    </comment>
    <comment ref="K2" authorId="0" shapeId="0" xr:uid="{69BC90EC-C679-DB45-9CD5-1E4024464B1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West Bend</t>
        </r>
      </text>
    </comment>
    <comment ref="L2" authorId="0" shapeId="0" xr:uid="{32CF7955-B2C3-844E-86A3-40BF53181A3B}">
      <text>
        <r>
          <rPr>
            <b/>
            <sz val="9"/>
            <color rgb="FF000000"/>
            <rFont val="Tahoma"/>
            <family val="2"/>
          </rPr>
          <t>Kelcy Boettcher: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Wausau, Ozaukee Shoot, Waukesha Shoot</t>
        </r>
      </text>
    </comment>
    <comment ref="M2" authorId="0" shapeId="0" xr:uid="{AFC1C78B-4EB5-594E-9A2B-122743F8EA0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West Allis, Xmas Bash, Lakeshore</t>
        </r>
      </text>
    </comment>
    <comment ref="D3" authorId="0" shapeId="0" xr:uid="{A0965F8C-0878-9449-867A-7DC1B2DEAD1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2019 Calendar ads</t>
        </r>
      </text>
    </comment>
    <comment ref="E3" authorId="0" shapeId="0" xr:uid="{A66505A7-997A-E848-96CA-4A5382652DD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$1000 late calendar sales</t>
        </r>
      </text>
    </comment>
    <comment ref="F3" authorId="0" shapeId="0" xr:uid="{FE689777-FB62-364E-85A0-6CC264119D6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$1000 late calendar sales</t>
        </r>
      </text>
    </comment>
    <comment ref="G3" authorId="0" shapeId="0" xr:uid="{98A6F8FE-3236-5644-BF83-EA2CFC6D98B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$1000 late calendar sales</t>
        </r>
      </text>
    </comment>
    <comment ref="H3" authorId="0" shapeId="0" xr:uid="{1535DC3F-9595-B54E-B0EA-CA37DC8E3858}">
      <text>
        <r>
          <rPr>
            <b/>
            <sz val="9"/>
            <color rgb="FF000000"/>
            <rFont val="Tahoma"/>
            <family val="2"/>
          </rPr>
          <t>Kelcy Boettcher: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Calendar sales</t>
        </r>
      </text>
    </comment>
    <comment ref="I3" authorId="0" shapeId="0" xr:uid="{145BA75C-6EC3-814B-A709-9AD96112253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Calendars, DCCE, Thrivent, Amazon, Porten donations</t>
        </r>
      </text>
    </comment>
    <comment ref="J3" authorId="0" shapeId="0" xr:uid="{7B8C4C70-0253-2047-BE02-5D984CE2D0B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K3" authorId="0" shapeId="0" xr:uid="{9F8DE481-4226-494B-AA4B-AE1155CC353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L3" authorId="0" shapeId="0" xr:uid="{3AF52506-D675-4549-B5C2-34949F87080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M3" authorId="0" shapeId="0" xr:uid="{101EDCE6-9DD7-6F41-B94E-5EA90C818CF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B7" authorId="0" shapeId="0" xr:uid="{01740E8B-A7C1-344C-B759-F6DC94811EF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
</t>
        </r>
      </text>
    </comment>
    <comment ref="C7" authorId="0" shapeId="0" xr:uid="{564E70FB-4447-E344-92E8-CE79DEE8F5E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
</t>
        </r>
      </text>
    </comment>
    <comment ref="D7" authorId="0" shapeId="0" xr:uid="{1578CD4F-F685-3544-8675-A057CE63241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
</t>
        </r>
      </text>
    </comment>
    <comment ref="E7" authorId="0" shapeId="0" xr:uid="{3B8C8372-5359-B34E-808E-E9C31384D78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$500 USFWS, $6520 GGBCF Abrams grant
</t>
        </r>
      </text>
    </comment>
    <comment ref="K7" authorId="0" shapeId="0" xr:uid="{16C3F220-3118-514F-A787-62F56FCF9FC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$2000 Cellcom/Abrams, $49804.96 USFWS, $12,000 small NAWCA </t>
        </r>
      </text>
    </comment>
    <comment ref="L7" authorId="0" shapeId="0" xr:uid="{DDE5456F-0B4A-5F44-9441-F293FEC17DB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M7" authorId="0" shapeId="0" xr:uid="{C9277A5F-0801-F14B-8670-8ADB766C7DF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B8" authorId="0" shapeId="0" xr:uid="{E28E8705-829F-DB4E-ABC2-E62BB8211F1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 wood duck donation, $44 Thrivent, $165.10 credit card rewards</t>
        </r>
      </text>
    </comment>
    <comment ref="C8" authorId="0" shapeId="0" xr:uid="{80F6344C-88EF-C64F-92C7-08BFD0D2B07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 wood duck donation, $131 Thrivent, $294.33 Badger Sportsman, $24.19 AmazonSmile, $180.12 CC rewards</t>
        </r>
      </text>
    </comment>
    <comment ref="D8" authorId="0" shapeId="0" xr:uid="{3BFA384B-1014-B94A-A9F6-129202AB0C8D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$600 wood duck box sales, $200 Alliant Energy, $50 Thrivent</t>
        </r>
      </text>
    </comment>
    <comment ref="E8" authorId="0" shapeId="0" xr:uid="{14F76B22-C935-3347-B08E-6EEC50C287FD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$421 Thrivent, $250 donation</t>
        </r>
      </text>
    </comment>
    <comment ref="F8" authorId="0" shapeId="0" xr:uid="{9A26F102-2B94-484E-945D-3E3C798CD99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$548 wood duck box sales, $195.62 credit rewards, $21.60 amazonsmile, $30 memorial donation</t>
        </r>
      </text>
    </comment>
    <comment ref="G8" authorId="0" shapeId="0" xr:uid="{0026090B-4F6D-724E-8D4E-FC178B034BF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wood duck box sales, </t>
        </r>
      </text>
    </comment>
    <comment ref="H8" authorId="0" shapeId="0" xr:uid="{B98152FF-6EE9-864E-A211-FEE98AE5426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Porten floral donations, $725 DNR LTH (reimbursed to Kakatsch)</t>
        </r>
      </text>
    </comment>
    <comment ref="J8" authorId="0" shapeId="0" xr:uid="{206F4CCF-4550-8840-BBEE-4FCFF1275E9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Credit card rewards</t>
        </r>
      </text>
    </comment>
    <comment ref="K8" authorId="0" shapeId="0" xr:uid="{12C628F7-FE76-3940-8325-6DF772D4B51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$3600 USFWS admin, $25 Network for Good, $25.29 AmazonSmile, $1739 ED listing donation</t>
        </r>
      </text>
    </comment>
    <comment ref="L8" authorId="0" shapeId="0" xr:uid="{D7CAF1FC-7001-ED48-881A-46D6C9F09D8D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$700 Giving Tuesday donations</t>
        </r>
      </text>
    </comment>
    <comment ref="M8" authorId="0" shapeId="0" xr:uid="{BAC9C821-7674-5D46-9F58-CBE361C4458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$675 donations</t>
        </r>
      </text>
    </comment>
    <comment ref="A14" authorId="1" shapeId="0" xr:uid="{EC6DA683-E179-304B-83EE-CC1867977442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$50/month merchandise sale cost</t>
        </r>
      </text>
    </comment>
    <comment ref="L14" authorId="0" shapeId="0" xr:uid="{80B57752-3A66-3B45-9A76-E986EC1945B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M14" authorId="0" shapeId="0" xr:uid="{965F2F16-0DD2-FF48-A3A3-86C35883B34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D29" authorId="0" shapeId="0" xr:uid="{0F694360-DD98-C047-99F1-59F68B03BD4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Chapter reward shirts $1892, sponsor kinves $5600, $501 printing</t>
        </r>
      </text>
    </comment>
    <comment ref="E29" authorId="0" shapeId="0" xr:uid="{C3575EC6-FD31-1E46-B104-525E09DF20A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Chapter reward shirts $1892, sponsor kinves $5600, $501 printing</t>
        </r>
      </text>
    </comment>
    <comment ref="E30" authorId="0" shapeId="0" xr:uid="{55702023-D995-7740-B79F-54F11BCA47D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inventory shipping costs</t>
        </r>
      </text>
    </comment>
    <comment ref="E42" authorId="0" shapeId="0" xr:uid="{99B11692-BFF9-5348-8958-2C0CC201C19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$247.92 wood duck box, $250 DU event sponsorship, signage, $1000 life membership into GGBCF</t>
        </r>
      </text>
    </comment>
    <comment ref="J42" authorId="0" shapeId="0" xr:uid="{C070BBBA-BB01-B143-A39B-F72CADCAC6C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($960) DCCE insurance refund</t>
        </r>
      </text>
    </comment>
    <comment ref="K42" authorId="0" shapeId="0" xr:uid="{3346D0BD-BF2C-1D4D-B4AE-CC8AC50893FD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$1700 ED listing expense (offset by donation in income)</t>
        </r>
      </text>
    </comment>
    <comment ref="I43" authorId="0" shapeId="0" xr:uid="{E821545D-A1F8-B346-A431-8EF70CD16DD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HRP plus Abrams site</t>
        </r>
      </text>
    </comment>
    <comment ref="J43" authorId="0" shapeId="0" xr:uid="{A0C31EC6-F8B0-2B43-A701-437E727C1088}">
      <text>
        <r>
          <rPr>
            <b/>
            <sz val="9"/>
            <color rgb="FF000000"/>
            <rFont val="Tahoma"/>
            <family val="2"/>
          </rPr>
          <t>Kelcy Boettcher: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HRP, $950 Abrams herbicide</t>
        </r>
      </text>
    </comment>
    <comment ref="K43" authorId="0" shapeId="0" xr:uid="{C5FA0A1A-0A0C-7045-9670-C894D4E2FD6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HRP, $3894.59 Abrams blinds, ramps, labor, wild rice &amp; fish gate</t>
        </r>
      </text>
    </comment>
    <comment ref="L43" authorId="0" shapeId="0" xr:uid="{A0F3393B-8FDB-FA42-93C6-EC9DBD74AAD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HRP, $3894.59 Abrams blinds, ramps, labor, wild rice &amp; fish gate</t>
        </r>
      </text>
    </comment>
    <comment ref="F44" authorId="0" shapeId="0" xr:uid="{B87FD2AC-4601-D741-ABE7-EE865AB9B17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Abrams expense</t>
        </r>
      </text>
    </comment>
    <comment ref="G44" authorId="0" shapeId="0" xr:uid="{CC9E4591-94C0-1D48-85AA-6B770D51EB7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$525 Abrams expense, $1600 USFWS</t>
        </r>
      </text>
    </comment>
    <comment ref="H44" authorId="0" shapeId="0" xr:uid="{3329223D-FDAA-5E4F-A943-13AE6B5DDBB8}">
      <text>
        <r>
          <rPr>
            <b/>
            <sz val="9"/>
            <color indexed="81"/>
            <rFont val="Tahoma"/>
            <family val="2"/>
          </rPr>
          <t>Kelcy Boettcher</t>
        </r>
        <r>
          <rPr>
            <sz val="9"/>
            <color indexed="81"/>
            <rFont val="Tahoma"/>
            <family val="2"/>
          </rPr>
          <t xml:space="preserve"> USFWS</t>
        </r>
      </text>
    </comment>
    <comment ref="I44" authorId="0" shapeId="0" xr:uid="{2A510D7D-24D4-4A4A-94FF-4F57E10C3DAA}">
      <text>
        <r>
          <rPr>
            <b/>
            <sz val="9"/>
            <color indexed="81"/>
            <rFont val="Tahoma"/>
            <family val="2"/>
          </rPr>
          <t>Kelcy Boettcher</t>
        </r>
        <r>
          <rPr>
            <sz val="9"/>
            <color indexed="81"/>
            <rFont val="Tahoma"/>
            <family val="2"/>
          </rPr>
          <t xml:space="preserve"> USFWS</t>
        </r>
      </text>
    </comment>
    <comment ref="J44" authorId="0" shapeId="0" xr:uid="{3CDB4C04-4C94-A745-8EE0-820B661A17A5}">
      <text>
        <r>
          <rPr>
            <b/>
            <sz val="9"/>
            <color indexed="81"/>
            <rFont val="Tahoma"/>
            <family val="2"/>
          </rPr>
          <t>Kelcy Boettcher</t>
        </r>
        <r>
          <rPr>
            <sz val="9"/>
            <color indexed="81"/>
            <rFont val="Tahoma"/>
            <family val="2"/>
          </rPr>
          <t xml:space="preserve"> USFWS</t>
        </r>
      </text>
    </comment>
    <comment ref="K44" authorId="0" shapeId="0" xr:uid="{3895F391-E3EC-D745-AC98-4C799E4B4A1D}">
      <text>
        <r>
          <rPr>
            <b/>
            <sz val="9"/>
            <color indexed="81"/>
            <rFont val="Tahoma"/>
            <family val="2"/>
          </rPr>
          <t>Kelcy Boettcher</t>
        </r>
        <r>
          <rPr>
            <sz val="9"/>
            <color indexed="81"/>
            <rFont val="Tahoma"/>
            <family val="2"/>
          </rPr>
          <t xml:space="preserve"> USFWS &amp; Small NAWCA</t>
        </r>
      </text>
    </comment>
    <comment ref="L44" authorId="0" shapeId="0" xr:uid="{40C5C72B-565E-D044-A7A2-7B93A3593246}">
      <text>
        <r>
          <rPr>
            <b/>
            <sz val="9"/>
            <color indexed="81"/>
            <rFont val="Tahoma"/>
            <family val="2"/>
          </rPr>
          <t>Kelcy Boettcher</t>
        </r>
        <r>
          <rPr>
            <sz val="9"/>
            <color indexed="81"/>
            <rFont val="Tahoma"/>
            <family val="2"/>
          </rPr>
          <t xml:space="preserve"> USFWS </t>
        </r>
      </text>
    </comment>
    <comment ref="M44" authorId="0" shapeId="0" xr:uid="{526E81CC-E21D-CA4C-BFF2-90808D5611A4}">
      <text>
        <r>
          <rPr>
            <b/>
            <sz val="9"/>
            <color indexed="81"/>
            <rFont val="Tahoma"/>
            <family val="2"/>
          </rPr>
          <t>Kelcy Boettcher</t>
        </r>
        <r>
          <rPr>
            <sz val="9"/>
            <color indexed="81"/>
            <rFont val="Tahoma"/>
            <family val="2"/>
          </rPr>
          <t xml:space="preserve"> USFWS </t>
        </r>
      </text>
    </comment>
    <comment ref="B45" authorId="0" shapeId="0" xr:uid="{A6574901-0F9B-4B45-ABBE-CC4E63B4838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website, WWF membership, annual meeting</t>
        </r>
      </text>
    </comment>
    <comment ref="C45" authorId="0" shapeId="0" xr:uid="{9032D552-D74B-9243-9230-DDF20C0A5A9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$215.30 website, $1947.31 wood duck box lumber, $204 AWA, $250.31 duck &amp; goose</t>
        </r>
      </text>
    </comment>
    <comment ref="D45" authorId="0" shapeId="0" xr:uid="{F6B46F13-E0FA-0040-9FA3-8D456E85C7F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$1684.50 constant contact, $228.40 wood duck boxes, $325 DCCE ad</t>
        </r>
      </text>
    </comment>
    <comment ref="E45" authorId="0" shapeId="0" xr:uid="{2B0600CB-F1E3-E049-AE7A-1F9C1205463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F45" authorId="0" shapeId="0" xr:uid="{36D3A00E-B18D-1448-8979-5F559D25AF5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website, Leopold Foundation sponsorship,</t>
        </r>
      </text>
    </comment>
    <comment ref="G45" authorId="0" shapeId="0" xr:uid="{F24064D8-BC75-1841-9406-82D0EDF7EAB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website, DCCE ads &amp; insurance</t>
        </r>
      </text>
    </comment>
    <comment ref="H45" authorId="0" shapeId="0" xr:uid="{6804DE59-7425-7940-887A-BF73860FEF2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website, $725 LTH to Kakatsch, DCCE insurance</t>
        </r>
      </text>
    </comment>
    <comment ref="J45" authorId="0" shapeId="0" xr:uid="{4BAD6073-1447-B04A-949D-506E5D73A92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Website, boot cleaning station lumber &amp; materials</t>
        </r>
      </text>
    </comment>
    <comment ref="K45" authorId="0" shapeId="0" xr:uid="{D4572608-3B0E-1C44-B705-BFB7D241DCD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L45" authorId="0" shapeId="0" xr:uid="{7CC9B829-CEEE-7743-8073-7BAA8964508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M45" authorId="0" shapeId="0" xr:uid="{13BB8DE2-EA3D-CD4D-8F99-89582DBE5CF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Website, 2018 Milw Sports Show reconciliation</t>
        </r>
      </text>
    </comment>
    <comment ref="F56" authorId="0" shapeId="0" xr:uid="{EE5B1466-1D92-6A48-B7EC-9F2AB3D9127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progress billing on 2017 compilation</t>
        </r>
      </text>
    </comment>
    <comment ref="G56" authorId="0" shapeId="0" xr:uid="{71DF4247-E917-6942-BC03-BAA190F6B9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progress billing on 2017 compilation</t>
        </r>
      </text>
    </comment>
    <comment ref="H56" authorId="0" shapeId="0" xr:uid="{E49AFB73-4D3B-224F-8683-5ECEBDC29AB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progress billing on 2017 compilation</t>
        </r>
      </text>
    </comment>
    <comment ref="B58" authorId="0" shapeId="0" xr:uid="{9CA1F5C9-2CDB-6444-9A11-87C1CAF6F3D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  <comment ref="C58" authorId="0" shapeId="0" xr:uid="{7F40B229-01D3-9F4C-A5E6-FF5AECE3B55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  <comment ref="D58" authorId="0" shapeId="0" xr:uid="{ADD6B3C7-0A31-1046-8674-A9810C3632F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QB payroll</t>
        </r>
      </text>
    </comment>
    <comment ref="E58" authorId="0" shapeId="0" xr:uid="{4B84C5DA-D15D-784B-BCC9-DB6B4706CFF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QB payroll</t>
        </r>
      </text>
    </comment>
    <comment ref="H58" authorId="0" shapeId="0" xr:uid="{A5122641-17D1-FA49-A498-6CD26C3AA4C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$10 business license, $192.46 Porten flowers</t>
        </r>
      </text>
    </comment>
    <comment ref="K58" authorId="0" shapeId="0" xr:uid="{88FD9E27-E827-D84D-A0FC-17C4097E093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Endowment fund loss (gain)</t>
        </r>
      </text>
    </comment>
    <comment ref="L58" authorId="0" shapeId="0" xr:uid="{84D8B398-B7C5-1749-9EE9-CE940875906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Endowment fund loss (gain)</t>
        </r>
      </text>
    </comment>
    <comment ref="M58" authorId="0" shapeId="0" xr:uid="{D2A547C1-2E92-B14B-8F65-CAC43C94B5F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Endowment fund loss (gain)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A14" authorId="0" shapeId="0" xr:uid="{37C6311D-C962-E34B-9B39-8923863B847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Cellcom - Abrams
</t>
        </r>
      </text>
    </comment>
    <comment ref="A15" authorId="0" shapeId="0" xr:uid="{E48E994B-494F-7F40-8CF8-5AF87151ABC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$250 Oshkosh Area Community Fdtn, $250 wood duck donation</t>
        </r>
      </text>
    </comment>
    <comment ref="A41" authorId="0" shapeId="0" xr:uid="{04DC029F-C3C1-AE4A-A46B-099C9A54278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FB ads</t>
        </r>
      </text>
    </comment>
    <comment ref="E49" authorId="1" shapeId="0" xr:uid="{67FF676B-AF39-8F4B-9806-E2353A752ED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PF contribution from 2014 calendar net ($2920)</t>
        </r>
      </text>
    </comment>
    <comment ref="A52" authorId="0" shapeId="0" xr:uid="{C47B1156-F4A9-B840-8F63-545403F766B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65" authorId="0" shapeId="0" xr:uid="{1539FF1D-9FA9-FC40-A80C-2CD6E729B5B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sharedStrings.xml><?xml version="1.0" encoding="utf-8"?>
<sst xmlns="http://schemas.openxmlformats.org/spreadsheetml/2006/main" count="406" uniqueCount="133">
  <si>
    <t xml:space="preserve">BBB Standard </t>
  </si>
  <si>
    <t>Program exp</t>
  </si>
  <si>
    <t>Total Expenses</t>
  </si>
  <si>
    <t>#8 "Program Expenses - spend at least 65% of its total expenses on program activities"</t>
  </si>
  <si>
    <t>%</t>
  </si>
  <si>
    <t>Total f/r expenses</t>
  </si>
  <si>
    <t>GOAL %</t>
  </si>
  <si>
    <t>Total Related Contributions</t>
  </si>
  <si>
    <t>FY</t>
  </si>
  <si>
    <t>2019 (est)</t>
  </si>
  <si>
    <t>Alternatives #2</t>
  </si>
  <si>
    <t>Alternatives #1</t>
  </si>
  <si>
    <t>WWA Statement of Activities</t>
  </si>
  <si>
    <t>Contributions</t>
  </si>
  <si>
    <t>Less cost of Direct benefits to Donors</t>
  </si>
  <si>
    <t>Other Revenue</t>
  </si>
  <si>
    <t>Held by Community Foundation</t>
  </si>
  <si>
    <t>Total Revenues, Support, and Gains (losses)</t>
  </si>
  <si>
    <t>Expenses</t>
  </si>
  <si>
    <t>Fundraising</t>
  </si>
  <si>
    <t>Change in Net Assets</t>
  </si>
  <si>
    <t>Net Assets - Beginning of Year</t>
  </si>
  <si>
    <t>NET ASSETS, END OF YEAR</t>
  </si>
  <si>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</si>
  <si>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</si>
  <si>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</si>
  <si>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</si>
  <si>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</si>
  <si>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</si>
  <si>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</si>
  <si>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</si>
  <si>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</si>
  <si>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</si>
  <si>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</si>
  <si>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</si>
  <si>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</si>
  <si>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</si>
  <si>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</si>
  <si>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</si>
  <si>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</si>
  <si>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</si>
  <si>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</si>
  <si>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</si>
  <si>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</si>
  <si>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</si>
  <si>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</si>
  <si>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</si>
  <si>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</si>
  <si>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</si>
  <si>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</si>
  <si>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</si>
  <si>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</si>
  <si>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</si>
  <si>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</si>
  <si>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</si>
  <si>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</si>
  <si>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</si>
  <si>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</si>
  <si>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</si>
  <si>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Program Services:</t>
  </si>
  <si>
    <t>HRP</t>
  </si>
  <si>
    <t>Other Grants</t>
  </si>
  <si>
    <t>Education</t>
  </si>
  <si>
    <t>Total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</si>
  <si>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</si>
  <si>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</si>
  <si>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</si>
  <si>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</si>
  <si>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</si>
  <si>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</si>
  <si>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</si>
  <si>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Jan</t>
  </si>
  <si>
    <t>Feb</t>
  </si>
  <si>
    <t>March</t>
  </si>
  <si>
    <t>April</t>
  </si>
  <si>
    <t>May</t>
  </si>
  <si>
    <t>June</t>
  </si>
  <si>
    <t>July</t>
  </si>
  <si>
    <t>Aug</t>
  </si>
  <si>
    <t>Sept</t>
  </si>
  <si>
    <t>Oct</t>
  </si>
  <si>
    <t>Nov</t>
  </si>
  <si>
    <t>Dec</t>
  </si>
  <si>
    <t>Compiled</t>
  </si>
  <si>
    <t>Gross Event Revenue</t>
  </si>
  <si>
    <t>Event Revenue (Net)</t>
  </si>
  <si>
    <t>Grants and other Program Service Fees</t>
  </si>
  <si>
    <t>a</t>
  </si>
  <si>
    <t>b</t>
  </si>
  <si>
    <t>c</t>
  </si>
  <si>
    <t>Endowment growth - interest</t>
  </si>
  <si>
    <t>Revenue, Support, and Gains (Losses)</t>
  </si>
  <si>
    <t>Management, General Admin</t>
  </si>
  <si>
    <t>Year-end Resuts</t>
  </si>
  <si>
    <t>Total Contributions</t>
  </si>
  <si>
    <t>All other cont</t>
  </si>
  <si>
    <t xml:space="preserve">Investment </t>
  </si>
  <si>
    <t>Events</t>
  </si>
  <si>
    <t>Sales</t>
  </si>
  <si>
    <t>Mbrship</t>
  </si>
  <si>
    <t>Misc</t>
  </si>
  <si>
    <t>Habitat</t>
  </si>
  <si>
    <t>Restorations</t>
  </si>
  <si>
    <t>total rev</t>
  </si>
  <si>
    <t>Admin</t>
  </si>
  <si>
    <t>compiled, per 990</t>
  </si>
  <si>
    <t>From 2019 990</t>
  </si>
  <si>
    <t>per IRS Form 990</t>
  </si>
  <si>
    <t>EXPO Revenue</t>
  </si>
  <si>
    <t>Gain on extinguishment of PPP debt</t>
  </si>
  <si>
    <t>&gt;65%</t>
  </si>
  <si>
    <t>&lt; 35%</t>
  </si>
  <si>
    <t>Related contributions for WWA:</t>
  </si>
  <si>
    <t xml:space="preserve"> - </t>
  </si>
  <si>
    <t>Graphic</t>
  </si>
  <si>
    <t xml:space="preserve">Expenditure </t>
  </si>
  <si>
    <t>DOLLAR BILL GRAPHIC</t>
  </si>
  <si>
    <t>Expenditure</t>
  </si>
  <si>
    <t>Program services</t>
  </si>
  <si>
    <t>$</t>
  </si>
  <si>
    <t>total</t>
  </si>
  <si>
    <t>compiled</t>
  </si>
  <si>
    <t>ﬁ</t>
  </si>
  <si>
    <t>Dollar</t>
  </si>
  <si>
    <t xml:space="preserve">Name </t>
  </si>
  <si>
    <t>Value</t>
  </si>
  <si>
    <r>
      <t xml:space="preserve">Program Services: </t>
    </r>
    <r>
      <rPr>
        <sz val="12"/>
        <color theme="1"/>
        <rFont val="Calibri"/>
        <family val="2"/>
        <scheme val="minor"/>
      </rPr>
      <t xml:space="preserve"> </t>
    </r>
  </si>
  <si>
    <t>Habitat Restoration, Education, Advocacy and Member Benefits</t>
  </si>
  <si>
    <t>Management &amp; Administration</t>
  </si>
  <si>
    <t>prelim</t>
  </si>
  <si>
    <t>2021 compiled</t>
  </si>
  <si>
    <t>#9 "Fundraising  - spend no more than 35% of related contributions on fundraising [related contributions included donations, legacies, and other gifts received as a result of fundraising efforts]"</t>
  </si>
  <si>
    <t>2022 compiled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</si>
</sst>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[$-409]mmmm\-yy;@"/>
    <numFmt numFmtId="167" formatCode=".0"/>
    <numFmt numFmtId="168" formatCode="_(* #,##0.0_);_(* \(#,##0.0\);_(* &quot;-&quot;??_);_(@_)"/>
    <numFmt numFmtId="169" formatCode="0.0%"/>
  </numFmts>
  <fonts count="3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u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8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130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top"/>
    </xf>
    <xf numFmtId="164" fontId="0" fillId="0" borderId="0" xfId="0" applyNumberFormat="1" applyAlignment="1">
      <alignment horizontal="center" vertical="top" wrapText="1"/>
    </xf>
    <xf numFmtId="164" fontId="2" fillId="0" borderId="0" xfId="0" applyNumberFormat="1" applyFont="1" applyAlignment="1">
      <alignment horizontal="center" vertical="top" wrapText="1"/>
    </xf>
    <xf numFmtId="9" fontId="0" fillId="0" borderId="0" xfId="1" applyFont="1" applyAlignment="1">
      <alignment horizontal="center" vertical="top"/>
    </xf>
    <xf numFmtId="0" fontId="3" fillId="0" borderId="0" xfId="0" applyFont="1" applyAlignment="1">
      <alignment wrapText="1"/>
    </xf>
    <xf numFmtId="0" fontId="0" fillId="2" borderId="0" xfId="0" applyFill="1" applyAlignment="1">
      <alignment wrapText="1"/>
    </xf>
    <xf numFmtId="164" fontId="0" fillId="2" borderId="0" xfId="0" applyNumberFormat="1" applyFill="1" applyAlignment="1">
      <alignment horizontal="center" vertical="top" wrapText="1"/>
    </xf>
    <xf numFmtId="0" fontId="0" fillId="2" borderId="0" xfId="0" applyFill="1"/>
    <xf numFmtId="164" fontId="4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2" borderId="0" xfId="0" applyFill="1" applyAlignment="1">
      <alignment horizontal="center" wrapText="1"/>
    </xf>
    <xf numFmtId="165" fontId="0" fillId="0" borderId="0" xfId="0" applyNumberFormat="1"/>
    <xf numFmtId="0" fontId="5" fillId="0" borderId="0" xfId="2"/>
    <xf numFmtId="166" fontId="7" fillId="0" borderId="4" xfId="2" applyNumberFormat="1" applyFont="1" applyBorder="1" applyAlignment="1">
      <alignment horizontal="center"/>
    </xf>
    <xf numFmtId="0" fontId="8" fillId="0" borderId="6" xfId="2" applyFont="1" applyBorder="1" applyAlignment="1">
      <alignment horizontal="center"/>
    </xf>
    <xf numFmtId="0" fontId="8" fillId="0" borderId="0" xfId="2" applyFont="1" applyAlignment="1">
      <alignment horizontal="center"/>
    </xf>
    <xf numFmtId="0" fontId="8" fillId="0" borderId="7" xfId="2" applyFont="1" applyBorder="1" applyAlignment="1">
      <alignment horizontal="center"/>
    </xf>
    <xf numFmtId="0" fontId="5" fillId="0" borderId="8" xfId="2" applyBorder="1"/>
    <xf numFmtId="0" fontId="8" fillId="0" borderId="9" xfId="2" applyFont="1" applyBorder="1" applyAlignment="1">
      <alignment horizontal="center"/>
    </xf>
    <xf numFmtId="0" fontId="5" fillId="0" borderId="10" xfId="2" applyBorder="1"/>
    <xf numFmtId="0" fontId="5" fillId="0" borderId="7" xfId="2" applyBorder="1"/>
    <xf numFmtId="167" fontId="8" fillId="0" borderId="8" xfId="2" applyNumberFormat="1" applyFont="1" applyBorder="1" applyAlignment="1">
      <alignment horizontal="center"/>
    </xf>
    <xf numFmtId="0" fontId="5" fillId="0" borderId="9" xfId="2" applyBorder="1"/>
    <xf numFmtId="3" fontId="9" fillId="0" borderId="10" xfId="3" applyNumberFormat="1" applyFont="1" applyBorder="1"/>
    <xf numFmtId="3" fontId="9" fillId="0" borderId="0" xfId="3" applyNumberFormat="1" applyFont="1"/>
    <xf numFmtId="3" fontId="9" fillId="0" borderId="7" xfId="3" applyNumberFormat="1" applyFont="1" applyBorder="1"/>
    <xf numFmtId="167" fontId="9" fillId="0" borderId="8" xfId="2" applyNumberFormat="1" applyFont="1" applyBorder="1" applyAlignment="1">
      <alignment horizontal="center"/>
    </xf>
    <xf numFmtId="3" fontId="9" fillId="0" borderId="10" xfId="3" applyNumberFormat="1" applyFont="1" applyFill="1" applyBorder="1"/>
    <xf numFmtId="3" fontId="5" fillId="0" borderId="0" xfId="2" applyNumberFormat="1"/>
    <xf numFmtId="167" fontId="5" fillId="0" borderId="8" xfId="2" applyNumberFormat="1" applyBorder="1" applyAlignment="1">
      <alignment horizontal="center"/>
    </xf>
    <xf numFmtId="3" fontId="10" fillId="0" borderId="6" xfId="3" applyNumberFormat="1" applyFont="1" applyBorder="1"/>
    <xf numFmtId="3" fontId="10" fillId="0" borderId="11" xfId="3" applyNumberFormat="1" applyFont="1" applyBorder="1"/>
    <xf numFmtId="3" fontId="10" fillId="0" borderId="12" xfId="3" applyNumberFormat="1" applyFont="1" applyBorder="1"/>
    <xf numFmtId="167" fontId="10" fillId="0" borderId="13" xfId="2" applyNumberFormat="1" applyFont="1" applyBorder="1" applyAlignment="1">
      <alignment horizontal="center"/>
    </xf>
    <xf numFmtId="3" fontId="10" fillId="0" borderId="6" xfId="3" applyNumberFormat="1" applyFont="1" applyFill="1" applyBorder="1"/>
    <xf numFmtId="3" fontId="10" fillId="0" borderId="10" xfId="3" applyNumberFormat="1" applyFont="1" applyBorder="1"/>
    <xf numFmtId="3" fontId="10" fillId="0" borderId="0" xfId="3" applyNumberFormat="1" applyFont="1"/>
    <xf numFmtId="3" fontId="10" fillId="0" borderId="7" xfId="3" applyNumberFormat="1" applyFont="1" applyBorder="1"/>
    <xf numFmtId="167" fontId="10" fillId="0" borderId="8" xfId="2" applyNumberFormat="1" applyFont="1" applyBorder="1" applyAlignment="1">
      <alignment horizontal="center"/>
    </xf>
    <xf numFmtId="3" fontId="10" fillId="0" borderId="10" xfId="3" applyNumberFormat="1" applyFont="1" applyFill="1" applyBorder="1"/>
    <xf numFmtId="168" fontId="9" fillId="0" borderId="7" xfId="3" applyNumberFormat="1" applyFont="1" applyBorder="1"/>
    <xf numFmtId="168" fontId="9" fillId="0" borderId="10" xfId="3" applyNumberFormat="1" applyFont="1" applyFill="1" applyBorder="1"/>
    <xf numFmtId="168" fontId="9" fillId="0" borderId="0" xfId="3" applyNumberFormat="1" applyFont="1"/>
    <xf numFmtId="3" fontId="9" fillId="0" borderId="14" xfId="3" applyNumberFormat="1" applyFont="1" applyBorder="1"/>
    <xf numFmtId="169" fontId="11" fillId="0" borderId="10" xfId="4" applyNumberFormat="1" applyFont="1" applyBorder="1"/>
    <xf numFmtId="169" fontId="11" fillId="0" borderId="0" xfId="4" applyNumberFormat="1" applyFont="1"/>
    <xf numFmtId="169" fontId="11" fillId="0" borderId="7" xfId="4" applyNumberFormat="1" applyFont="1" applyBorder="1"/>
    <xf numFmtId="169" fontId="11" fillId="0" borderId="10" xfId="4" applyNumberFormat="1" applyFont="1" applyFill="1" applyBorder="1"/>
    <xf numFmtId="168" fontId="9" fillId="0" borderId="10" xfId="3" applyNumberFormat="1" applyFont="1" applyBorder="1"/>
    <xf numFmtId="167" fontId="12" fillId="0" borderId="8" xfId="2" applyNumberFormat="1" applyFont="1" applyBorder="1" applyAlignment="1">
      <alignment horizontal="left"/>
    </xf>
    <xf numFmtId="0" fontId="5" fillId="0" borderId="8" xfId="2" applyBorder="1" applyAlignment="1">
      <alignment horizontal="center"/>
    </xf>
    <xf numFmtId="3" fontId="13" fillId="0" borderId="10" xfId="3" applyNumberFormat="1" applyFont="1" applyBorder="1"/>
    <xf numFmtId="3" fontId="13" fillId="0" borderId="0" xfId="3" applyNumberFormat="1" applyFont="1"/>
    <xf numFmtId="3" fontId="13" fillId="0" borderId="7" xfId="3" applyNumberFormat="1" applyFont="1" applyBorder="1"/>
    <xf numFmtId="3" fontId="13" fillId="0" borderId="10" xfId="3" applyNumberFormat="1" applyFont="1" applyFill="1" applyBorder="1"/>
    <xf numFmtId="167" fontId="12" fillId="0" borderId="8" xfId="2" applyNumberFormat="1" applyFont="1" applyBorder="1" applyAlignment="1">
      <alignment horizontal="center"/>
    </xf>
    <xf numFmtId="3" fontId="10" fillId="0" borderId="15" xfId="2" applyNumberFormat="1" applyFont="1" applyBorder="1"/>
    <xf numFmtId="3" fontId="10" fillId="0" borderId="16" xfId="2" applyNumberFormat="1" applyFont="1" applyBorder="1"/>
    <xf numFmtId="3" fontId="10" fillId="0" borderId="17" xfId="2" applyNumberFormat="1" applyFont="1" applyBorder="1"/>
    <xf numFmtId="167" fontId="10" fillId="0" borderId="4" xfId="2" applyNumberFormat="1" applyFont="1" applyBorder="1" applyAlignment="1">
      <alignment horizontal="center"/>
    </xf>
    <xf numFmtId="0" fontId="12" fillId="0" borderId="0" xfId="2" applyFont="1"/>
    <xf numFmtId="167" fontId="10" fillId="0" borderId="18" xfId="2" applyNumberFormat="1" applyFont="1" applyBorder="1" applyAlignment="1">
      <alignment horizontal="center"/>
    </xf>
    <xf numFmtId="0" fontId="9" fillId="0" borderId="9" xfId="2" applyFont="1" applyBorder="1" applyAlignment="1">
      <alignment horizontal="center"/>
    </xf>
    <xf numFmtId="167" fontId="16" fillId="0" borderId="8" xfId="2" applyNumberFormat="1" applyFont="1" applyBorder="1" applyAlignment="1">
      <alignment horizontal="center"/>
    </xf>
    <xf numFmtId="167" fontId="16" fillId="0" borderId="8" xfId="2" applyNumberFormat="1" applyFont="1" applyBorder="1" applyAlignment="1">
      <alignment horizontal="left"/>
    </xf>
    <xf numFmtId="167" fontId="16" fillId="0" borderId="9" xfId="2" applyNumberFormat="1" applyFont="1" applyBorder="1" applyAlignment="1">
      <alignment horizontal="center"/>
    </xf>
    <xf numFmtId="167" fontId="9" fillId="0" borderId="9" xfId="2" applyNumberFormat="1" applyFont="1" applyBorder="1" applyAlignment="1">
      <alignment horizontal="center"/>
    </xf>
    <xf numFmtId="167" fontId="10" fillId="0" borderId="9" xfId="2" applyNumberFormat="1" applyFont="1" applyBorder="1" applyAlignment="1">
      <alignment horizontal="center"/>
    </xf>
    <xf numFmtId="3" fontId="12" fillId="0" borderId="0" xfId="2" applyNumberFormat="1" applyFont="1"/>
    <xf numFmtId="0" fontId="2" fillId="0" borderId="0" xfId="0" applyFont="1"/>
    <xf numFmtId="0" fontId="4" fillId="0" borderId="0" xfId="0" applyFont="1"/>
    <xf numFmtId="3" fontId="9" fillId="0" borderId="0" xfId="3" applyNumberFormat="1" applyFont="1" applyFill="1" applyBorder="1"/>
    <xf numFmtId="3" fontId="9" fillId="0" borderId="7" xfId="3" applyNumberFormat="1" applyFont="1" applyFill="1" applyBorder="1"/>
    <xf numFmtId="3" fontId="10" fillId="0" borderId="11" xfId="3" applyNumberFormat="1" applyFont="1" applyFill="1" applyBorder="1"/>
    <xf numFmtId="3" fontId="10" fillId="0" borderId="12" xfId="3" applyNumberFormat="1" applyFont="1" applyFill="1" applyBorder="1"/>
    <xf numFmtId="3" fontId="10" fillId="0" borderId="0" xfId="3" applyNumberFormat="1" applyFont="1" applyFill="1" applyBorder="1"/>
    <xf numFmtId="3" fontId="10" fillId="0" borderId="7" xfId="3" applyNumberFormat="1" applyFont="1" applyFill="1" applyBorder="1"/>
    <xf numFmtId="168" fontId="9" fillId="0" borderId="0" xfId="3" applyNumberFormat="1" applyFont="1" applyFill="1" applyBorder="1"/>
    <xf numFmtId="168" fontId="9" fillId="0" borderId="7" xfId="3" applyNumberFormat="1" applyFont="1" applyFill="1" applyBorder="1"/>
    <xf numFmtId="3" fontId="9" fillId="0" borderId="14" xfId="3" applyNumberFormat="1" applyFont="1" applyFill="1" applyBorder="1"/>
    <xf numFmtId="169" fontId="11" fillId="0" borderId="0" xfId="4" applyNumberFormat="1" applyFont="1" applyFill="1" applyBorder="1"/>
    <xf numFmtId="169" fontId="11" fillId="0" borderId="7" xfId="4" applyNumberFormat="1" applyFont="1" applyFill="1" applyBorder="1"/>
    <xf numFmtId="3" fontId="13" fillId="0" borderId="0" xfId="3" applyNumberFormat="1" applyFont="1" applyFill="1" applyBorder="1"/>
    <xf numFmtId="3" fontId="13" fillId="0" borderId="7" xfId="3" applyNumberFormat="1" applyFont="1" applyFill="1" applyBorder="1"/>
    <xf numFmtId="165" fontId="2" fillId="0" borderId="0" xfId="0" applyNumberFormat="1" applyFont="1"/>
    <xf numFmtId="0" fontId="22" fillId="0" borderId="0" xfId="0" applyFont="1"/>
    <xf numFmtId="0" fontId="23" fillId="0" borderId="0" xfId="0" applyFont="1"/>
    <xf numFmtId="165" fontId="24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165" fontId="23" fillId="0" borderId="0" xfId="0" applyNumberFormat="1" applyFont="1"/>
    <xf numFmtId="0" fontId="2" fillId="0" borderId="19" xfId="0" applyFont="1" applyBorder="1"/>
    <xf numFmtId="0" fontId="25" fillId="0" borderId="0" xfId="0" applyFont="1"/>
    <xf numFmtId="9" fontId="0" fillId="3" borderId="0" xfId="1" applyFont="1" applyFill="1" applyAlignment="1">
      <alignment horizontal="center" vertical="top"/>
    </xf>
    <xf numFmtId="9" fontId="4" fillId="3" borderId="0" xfId="1" applyFont="1" applyFill="1" applyAlignment="1">
      <alignment horizontal="center" vertical="top"/>
    </xf>
    <xf numFmtId="9" fontId="4" fillId="4" borderId="0" xfId="1" applyFont="1" applyFill="1" applyAlignment="1">
      <alignment horizontal="center" vertical="top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" fillId="0" borderId="11" xfId="0" applyFont="1" applyBorder="1"/>
    <xf numFmtId="0" fontId="0" fillId="0" borderId="11" xfId="0" applyBorder="1"/>
    <xf numFmtId="165" fontId="2" fillId="0" borderId="11" xfId="0" applyNumberFormat="1" applyFont="1" applyBorder="1"/>
    <xf numFmtId="0" fontId="24" fillId="0" borderId="0" xfId="0" applyFont="1"/>
    <xf numFmtId="9" fontId="0" fillId="4" borderId="0" xfId="1" applyFont="1" applyFill="1" applyAlignment="1">
      <alignment horizontal="center" vertical="top"/>
    </xf>
    <xf numFmtId="0" fontId="28" fillId="0" borderId="0" xfId="0" applyFont="1"/>
    <xf numFmtId="165" fontId="2" fillId="0" borderId="19" xfId="0" applyNumberFormat="1" applyFont="1" applyBorder="1"/>
    <xf numFmtId="165" fontId="29" fillId="0" borderId="0" xfId="0" applyNumberFormat="1" applyFont="1" applyAlignment="1">
      <alignment horizontal="center"/>
    </xf>
    <xf numFmtId="0" fontId="29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0" fillId="0" borderId="19" xfId="0" applyBorder="1" applyAlignment="1">
      <alignment wrapText="1"/>
    </xf>
    <xf numFmtId="165" fontId="4" fillId="0" borderId="0" xfId="0" applyNumberFormat="1" applyFont="1"/>
    <xf numFmtId="0" fontId="4" fillId="0" borderId="0" xfId="0" applyFont="1" applyAlignment="1">
      <alignment horizontal="center"/>
    </xf>
    <xf numFmtId="0" fontId="30" fillId="0" borderId="0" xfId="0" applyFont="1"/>
    <xf numFmtId="9" fontId="0" fillId="0" borderId="0" xfId="0" applyNumberFormat="1"/>
    <xf numFmtId="0" fontId="0" fillId="0" borderId="20" xfId="0" applyBorder="1"/>
    <xf numFmtId="165" fontId="4" fillId="0" borderId="20" xfId="0" applyNumberFormat="1" applyFont="1" applyBorder="1"/>
    <xf numFmtId="9" fontId="4" fillId="0" borderId="20" xfId="1" applyFont="1" applyBorder="1"/>
    <xf numFmtId="9" fontId="4" fillId="0" borderId="0" xfId="1" applyFont="1"/>
    <xf numFmtId="9" fontId="0" fillId="0" borderId="0" xfId="1" applyFont="1"/>
    <xf numFmtId="0" fontId="2" fillId="0" borderId="0" xfId="0" applyFont="1" applyAlignment="1">
      <alignment horizontal="left" vertical="top"/>
    </xf>
    <xf numFmtId="0" fontId="5" fillId="0" borderId="0" xfId="2" applyAlignment="1">
      <alignment horizontal="center"/>
    </xf>
    <xf numFmtId="17" fontId="5" fillId="0" borderId="0" xfId="2" applyNumberFormat="1" applyAlignment="1">
      <alignment horizontal="center"/>
    </xf>
    <xf numFmtId="0" fontId="6" fillId="0" borderId="1" xfId="2" applyFont="1" applyBorder="1" applyAlignment="1">
      <alignment horizontal="center"/>
    </xf>
    <xf numFmtId="0" fontId="6" fillId="0" borderId="2" xfId="2" applyFont="1" applyBorder="1" applyAlignment="1">
      <alignment horizontal="center"/>
    </xf>
    <xf numFmtId="0" fontId="6" fillId="0" borderId="3" xfId="2" applyFont="1" applyBorder="1" applyAlignment="1">
      <alignment horizontal="center"/>
    </xf>
    <xf numFmtId="0" fontId="6" fillId="0" borderId="5" xfId="2" applyFont="1" applyBorder="1" applyAlignment="1">
      <alignment horizontal="center"/>
    </xf>
  </cellXfs>
  <cellStyles count="5">
    <cellStyle name="Comma 2" xfId="3" xr:uid="{D387996B-AA77-FC48-945F-6CF6E0A7A9BD}"/>
    <cellStyle name="Normal" xfId="0" builtinId="0"/>
    <cellStyle name="Normal 2" xfId="2" xr:uid="{63A97613-FE22-7443-8EE1-C2DBA1AC0EC4}"/>
    <cellStyle name="Percent" xfId="1" builtinId="5"/>
    <cellStyle name="Percent 2" xfId="4" xr:uid="{4201D8C0-AB1E-8049-9E84-8DE9A0B9B7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g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g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2022</a:t>
            </a:r>
            <a:r>
              <a:rPr lang="en-US" sz="2000" baseline="0"/>
              <a:t> WWA Expenses</a:t>
            </a:r>
            <a:endParaRPr lang="en-US" sz="2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'2022 FinResults in compile '!$C$17:$C$19</c:f>
              <c:strCache>
                <c:ptCount val="3"/>
                <c:pt idx="0">
                  <c:v>Program Services:  </c:v>
                </c:pt>
                <c:pt idx="1">
                  <c:v>Management, General Admin</c:v>
                </c:pt>
                <c:pt idx="2">
                  <c:v>Fundraising</c:v>
                </c:pt>
              </c:strCache>
            </c:strRef>
          </c:tx>
          <c:explosion val="6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B8E-C749-B5F3-B26192A6CE7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B8E-C749-B5F3-B26192A6CE7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B8E-C749-B5F3-B26192A6CE7C}"/>
              </c:ext>
            </c:extLst>
          </c:dPt>
          <c:cat>
            <c:multiLvlStrRef>
              <c:f>'2022 FinResults in compile '!$C$17:$D$19</c:f>
              <c:multiLvlStrCache>
                <c:ptCount val="3"/>
                <c:lvl>
                  <c:pt idx="0">
                    <c:v>Habitat Restoration, Education, Advocacy and Member Benefits</c:v>
                  </c:pt>
                </c:lvl>
                <c:lvl>
                  <c:pt idx="0">
                    <c:v>Program Services:  </c:v>
                  </c:pt>
                  <c:pt idx="1">
                    <c:v>Management, General Admin</c:v>
                  </c:pt>
                  <c:pt idx="2">
                    <c:v>Fundraising</c:v>
                  </c:pt>
                </c:lvl>
              </c:multiLvlStrCache>
            </c:multiLvlStrRef>
          </c:cat>
          <c:val>
            <c:numRef>
              <c:f>'2022 FinResults in compile '!$E$17:$E$19</c:f>
              <c:numCache>
                <c:formatCode>_("$"* #,##0_);_("$"* \(#,##0\);_("$"* "-"??_);_(@_)</c:formatCode>
                <c:ptCount val="3"/>
                <c:pt idx="0">
                  <c:v>402325</c:v>
                </c:pt>
                <c:pt idx="1">
                  <c:v>27923</c:v>
                </c:pt>
                <c:pt idx="2">
                  <c:v>79091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B8E-C749-B5F3-B26192A6CE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29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0"/>
              <a:t>2021 WWA Expenses</a:t>
            </a:r>
          </a:p>
          <a:p>
            <a:pPr>
              <a:defRPr sz="2000"/>
            </a:pPr>
            <a:endParaRPr lang="en-US" sz="2000" b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498384405303809E-2"/>
          <c:y val="0.13179017553461933"/>
          <c:w val="0.90620150341025374"/>
          <c:h val="0.60455867863965496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'2022 FinResults in compile '!$B$55</c:f>
              <c:strCache>
                <c:ptCount val="1"/>
                <c:pt idx="0">
                  <c:v>Program services</c:v>
                </c:pt>
              </c:strCache>
            </c:strRef>
          </c:tx>
          <c:spPr>
            <a:noFill/>
            <a:ln w="127000"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7.6551545089092787E-2"/>
                  <c:y val="0.42644746595345845"/>
                </c:manualLayout>
              </c:layout>
              <c:tx>
                <c:rich>
                  <a:bodyPr/>
                  <a:lstStyle/>
                  <a:p>
                    <a:fld id="{CCC46338-858C-B047-B745-A02D0F878B75}" type="SERIESNAME">
                      <a:rPr lang="en-US"/>
                      <a:pPr/>
                      <a:t>[SERIES NAME]</a:t>
                    </a:fld>
                    <a:endParaRPr lang="en-US" baseline="0"/>
                  </a:p>
                  <a:p>
                    <a:fld id="{0040A96A-E530-C143-87D5-FE9757EB3835}" type="VALUE">
                      <a:rPr lang="en-US" baseline="0"/>
                      <a:pPr/>
                      <a:t>[VALUE]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A4FB-8941-ABC1-2D9047F6C9D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9050" cap="flat" cmpd="sng" algn="ctr">
                      <a:solidFill>
                        <a:schemeClr val="dk1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val>
            <c:numRef>
              <c:f>'2022 FinResults in compile '!$C$55</c:f>
              <c:numCache>
                <c:formatCode>0%</c:formatCode>
                <c:ptCount val="1"/>
                <c:pt idx="0">
                  <c:v>0.78989631659857185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FB-8941-ABC1-2D9047F6C9D5}"/>
            </c:ext>
          </c:extLst>
        </c:ser>
        <c:ser>
          <c:idx val="1"/>
          <c:order val="1"/>
          <c:tx>
            <c:strRef>
              <c:f>'2022 FinResults in compile '!$B$56</c:f>
              <c:strCache>
                <c:ptCount val="1"/>
                <c:pt idx="0">
                  <c:v>Fundraising</c:v>
                </c:pt>
              </c:strCache>
            </c:strRef>
          </c:tx>
          <c:spPr>
            <a:noFill/>
            <a:ln w="127000"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0.21085767393558927"/>
                  <c:y val="0.39801763488989444"/>
                </c:manualLayout>
              </c:layout>
              <c:tx>
                <c:rich>
                  <a:bodyPr/>
                  <a:lstStyle/>
                  <a:p>
                    <a:fld id="{C4F86A33-9A32-364E-A7DC-46F6D742547A}" type="SERIESNAME">
                      <a:rPr lang="en-US"/>
                      <a:pPr/>
                      <a:t>[SERIES NAME]</a:t>
                    </a:fld>
                    <a:endParaRPr lang="en-US" baseline="0"/>
                  </a:p>
                  <a:p>
                    <a:r>
                      <a:rPr lang="en-US" baseline="0"/>
                      <a:t> </a:t>
                    </a:r>
                    <a:fld id="{63B09C78-AB7E-FF44-A0CF-9D9DB1BC1342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A4FB-8941-ABC1-2D9047F6C9D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9050" cap="flat" cmpd="sng" algn="ctr">
                      <a:solidFill>
                        <a:schemeClr val="dk1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val>
            <c:numRef>
              <c:f>'2022 FinResults in compile '!$C$56</c:f>
              <c:numCache>
                <c:formatCode>0%</c:formatCode>
                <c:ptCount val="1"/>
                <c:pt idx="0">
                  <c:v>0.15528164935337763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FB-8941-ABC1-2D9047F6C9D5}"/>
            </c:ext>
          </c:extLst>
        </c:ser>
        <c:ser>
          <c:idx val="2"/>
          <c:order val="2"/>
          <c:tx>
            <c:strRef>
              <c:f>'2022 FinResults in compile '!$B$57</c:f>
              <c:strCache>
                <c:ptCount val="1"/>
                <c:pt idx="0">
                  <c:v>Management &amp; Administration</c:v>
                </c:pt>
              </c:strCache>
            </c:strRef>
          </c:tx>
          <c:spPr>
            <a:noFill/>
            <a:ln w="127000"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2.6433162140104098E-2"/>
                  <c:y val="0.46198475478291334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CAF7D9FE-71F5-BC4F-AA39-C5FDD26A31E5}" type="SERIESNAME">
                      <a:rPr lang="en-US" sz="1200"/>
                      <a:pPr>
                        <a:defRPr sz="1200"/>
                      </a:pPr>
                      <a:t>[SERIES NAME]</a:t>
                    </a:fld>
                    <a:endParaRPr lang="en-US" sz="1200" baseline="0"/>
                  </a:p>
                  <a:p>
                    <a:pPr>
                      <a:defRPr sz="1200"/>
                    </a:pPr>
                    <a:fld id="{36026119-96D5-CC47-950C-672EA64D6EE7}" type="VALUE">
                      <a:rPr lang="en-US" sz="1200" baseline="0"/>
                      <a:pPr>
                        <a:defRPr sz="1200"/>
                      </a:pPr>
                      <a:t>[VALUE]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A4FB-8941-ABC1-2D9047F6C9D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9050" cap="flat" cmpd="sng" algn="ctr">
                      <a:solidFill>
                        <a:schemeClr val="dk1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val>
            <c:numRef>
              <c:f>'2022 FinResults in compile '!$C$57</c:f>
              <c:numCache>
                <c:formatCode>0%</c:formatCode>
                <c:ptCount val="1"/>
                <c:pt idx="0">
                  <c:v>5.4822034048050514E-2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4FB-8941-ABC1-2D9047F6C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756339216"/>
        <c:axId val="756562864"/>
      </c:barChart>
      <c:catAx>
        <c:axId val="75633921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56562864"/>
        <c:crosses val="autoZero"/>
        <c:auto val="1"/>
        <c:lblAlgn val="ctr"/>
        <c:lblOffset val="100"/>
        <c:noMultiLvlLbl val="0"/>
      </c:catAx>
      <c:valAx>
        <c:axId val="756562864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756339216"/>
        <c:crosses val="autoZero"/>
        <c:crossBetween val="between"/>
      </c:valAx>
      <c:spPr>
        <a:blipFill>
          <a:blip xmlns:r="http://schemas.openxmlformats.org/officeDocument/2006/relationships" r:embed="rId3">
            <a:alphaModFix amt="62000"/>
          </a:blip>
          <a:stretch>
            <a:fillRect/>
          </a:stretch>
        </a:blip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0"/>
              <a:t>2022 Sources of WWA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33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6410650281618022"/>
          <c:y val="0.22963601184941571"/>
          <c:w val="0.65449227048403447"/>
          <c:h val="0.58957822365929735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17E0-8643-BF82-B927E54C3AC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17E0-8643-BF82-B927E54C3AC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17E0-8643-BF82-B927E54C3AC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7-17E0-8643-BF82-B927E54C3AC7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5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5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9-17E0-8643-BF82-B927E54C3AC7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6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6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B-17E0-8643-BF82-B927E54C3AC7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D-17E0-8643-BF82-B927E54C3AC7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F-17E0-8643-BF82-B927E54C3AC7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1-17E0-8643-BF82-B927E54C3AC7}"/>
              </c:ext>
            </c:extLst>
          </c:dPt>
          <c:cat>
            <c:strRef>
              <c:f>'2022 FinResults in compile '!$C$4:$C$12</c:f>
              <c:strCache>
                <c:ptCount val="9"/>
                <c:pt idx="0">
                  <c:v>Contributions</c:v>
                </c:pt>
                <c:pt idx="1">
                  <c:v>Gain on extinguishment of PPP debt</c:v>
                </c:pt>
                <c:pt idx="2">
                  <c:v>Grants and other Program Service Fees</c:v>
                </c:pt>
                <c:pt idx="3">
                  <c:v>EXPO Revenue</c:v>
                </c:pt>
                <c:pt idx="4">
                  <c:v>Event Revenue (Net)</c:v>
                </c:pt>
                <c:pt idx="7">
                  <c:v>Other Revenue</c:v>
                </c:pt>
                <c:pt idx="8">
                  <c:v>Endowment growth - interest</c:v>
                </c:pt>
              </c:strCache>
            </c:strRef>
          </c:cat>
          <c:val>
            <c:numRef>
              <c:f>'2022 FinResults in compile '!$E$4:$E$12</c:f>
              <c:numCache>
                <c:formatCode>_("$"* #,##0_);_("$"* \(#,##0\);_("$"* "-"??_);_(@_)</c:formatCode>
                <c:ptCount val="9"/>
                <c:pt idx="0">
                  <c:v>55091</c:v>
                </c:pt>
                <c:pt idx="1">
                  <c:v>0</c:v>
                </c:pt>
                <c:pt idx="2">
                  <c:v>209557</c:v>
                </c:pt>
                <c:pt idx="3">
                  <c:v>59046</c:v>
                </c:pt>
                <c:pt idx="4">
                  <c:v>243665</c:v>
                </c:pt>
                <c:pt idx="5">
                  <c:v>547966</c:v>
                </c:pt>
                <c:pt idx="6">
                  <c:v>-304301</c:v>
                </c:pt>
                <c:pt idx="7">
                  <c:v>32334</c:v>
                </c:pt>
                <c:pt idx="8">
                  <c:v>1402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17E0-8643-BF82-B927E54C3A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2021</a:t>
            </a:r>
            <a:r>
              <a:rPr lang="en-US" sz="2000" baseline="0"/>
              <a:t> WWA Expenses</a:t>
            </a:r>
            <a:endParaRPr lang="en-US" sz="2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'2021 FinResults in compile form'!$C$17:$C$19</c:f>
              <c:strCache>
                <c:ptCount val="3"/>
                <c:pt idx="0">
                  <c:v>Program Services:  </c:v>
                </c:pt>
                <c:pt idx="1">
                  <c:v>Management, General Admin</c:v>
                </c:pt>
                <c:pt idx="2">
                  <c:v>Fundraising</c:v>
                </c:pt>
              </c:strCache>
            </c:strRef>
          </c:tx>
          <c:explosion val="6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0862-AE43-8847-1C1C3E220D1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0862-AE43-8847-1C1C3E220D1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A30-3440-9EE0-CF739D9806C0}"/>
              </c:ext>
            </c:extLst>
          </c:dPt>
          <c:dLbls>
            <c:dLbl>
              <c:idx val="0"/>
              <c:layout>
                <c:manualLayout>
                  <c:x val="2.6631803923778054E-3"/>
                  <c:y val="-0.1206126646849980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862-AE43-8847-1C1C3E220D1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multiLvlStrRef>
              <c:f>'2021 FinResults in compile form'!$C$17:$D$19</c:f>
              <c:multiLvlStrCache>
                <c:ptCount val="3"/>
                <c:lvl>
                  <c:pt idx="0">
                    <c:v>Habitat Restoration, Education, Advocacy and Member Benefits</c:v>
                  </c:pt>
                </c:lvl>
                <c:lvl>
                  <c:pt idx="0">
                    <c:v>Program Services:  </c:v>
                  </c:pt>
                  <c:pt idx="1">
                    <c:v>Management, General Admin</c:v>
                  </c:pt>
                  <c:pt idx="2">
                    <c:v>Fundraising</c:v>
                  </c:pt>
                </c:lvl>
              </c:multiLvlStrCache>
            </c:multiLvlStrRef>
          </c:cat>
          <c:val>
            <c:numRef>
              <c:f>'2021 FinResults in compile form'!$F$17:$F$19</c:f>
              <c:numCache>
                <c:formatCode>_("$"* #,##0_);_("$"* \(#,##0\);_("$"* "-"??_);_(@_)</c:formatCode>
                <c:ptCount val="3"/>
                <c:pt idx="0">
                  <c:v>377620</c:v>
                </c:pt>
                <c:pt idx="1">
                  <c:v>25684</c:v>
                </c:pt>
                <c:pt idx="2">
                  <c:v>81359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0862-AE43-8847-1C1C3E220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29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0"/>
              <a:t>2021 WWA Expenses</a:t>
            </a:r>
          </a:p>
          <a:p>
            <a:pPr>
              <a:defRPr sz="2000"/>
            </a:pPr>
            <a:endParaRPr lang="en-US" sz="2000" b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498384405303809E-2"/>
          <c:y val="0.13179017553461933"/>
          <c:w val="0.90620150341025374"/>
          <c:h val="0.60455867863965496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'2021 FinResults in compile form'!$B$55</c:f>
              <c:strCache>
                <c:ptCount val="1"/>
                <c:pt idx="0">
                  <c:v>Program services</c:v>
                </c:pt>
              </c:strCache>
            </c:strRef>
          </c:tx>
          <c:spPr>
            <a:noFill/>
            <a:ln w="127000"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7.6551545089092787E-2"/>
                  <c:y val="0.42644746595345845"/>
                </c:manualLayout>
              </c:layout>
              <c:tx>
                <c:rich>
                  <a:bodyPr/>
                  <a:lstStyle/>
                  <a:p>
                    <a:fld id="{CCC46338-858C-B047-B745-A02D0F878B75}" type="SERIESNAME">
                      <a:rPr lang="en-US"/>
                      <a:pPr/>
                      <a:t>[SERIES NAME]</a:t>
                    </a:fld>
                    <a:endParaRPr lang="en-US" baseline="0"/>
                  </a:p>
                  <a:p>
                    <a:fld id="{0040A96A-E530-C143-87D5-FE9757EB3835}" type="VALUE">
                      <a:rPr lang="en-US" baseline="0"/>
                      <a:pPr/>
                      <a:t>[VALUE]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6BFB-414C-8CD9-2DD361CC29C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9050" cap="flat" cmpd="sng" algn="ctr">
                      <a:solidFill>
                        <a:schemeClr val="dk1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val>
            <c:numRef>
              <c:f>'2021 FinResults in compile form'!$C$55</c:f>
              <c:numCache>
                <c:formatCode>0%</c:formatCode>
                <c:ptCount val="1"/>
                <c:pt idx="0">
                  <c:v>0.77913931948591086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FB-414C-8CD9-2DD361CC29C8}"/>
            </c:ext>
          </c:extLst>
        </c:ser>
        <c:ser>
          <c:idx val="1"/>
          <c:order val="1"/>
          <c:tx>
            <c:strRef>
              <c:f>'2021 FinResults in compile form'!$B$56</c:f>
              <c:strCache>
                <c:ptCount val="1"/>
                <c:pt idx="0">
                  <c:v>Fundraising</c:v>
                </c:pt>
              </c:strCache>
            </c:strRef>
          </c:tx>
          <c:spPr>
            <a:noFill/>
            <a:ln w="127000"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0.21085767393558927"/>
                  <c:y val="0.39801763488989444"/>
                </c:manualLayout>
              </c:layout>
              <c:tx>
                <c:rich>
                  <a:bodyPr/>
                  <a:lstStyle/>
                  <a:p>
                    <a:fld id="{C4F86A33-9A32-364E-A7DC-46F6D742547A}" type="SERIESNAME">
                      <a:rPr lang="en-US"/>
                      <a:pPr/>
                      <a:t>[SERIES NAME]</a:t>
                    </a:fld>
                    <a:endParaRPr lang="en-US" baseline="0"/>
                  </a:p>
                  <a:p>
                    <a:r>
                      <a:rPr lang="en-US" baseline="0"/>
                      <a:t> </a:t>
                    </a:r>
                    <a:fld id="{63B09C78-AB7E-FF44-A0CF-9D9DB1BC1342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6BFB-414C-8CD9-2DD361CC29C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9050" cap="flat" cmpd="sng" algn="ctr">
                      <a:solidFill>
                        <a:schemeClr val="dk1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val>
            <c:numRef>
              <c:f>'2021 FinResults in compile form'!$C$56</c:f>
              <c:numCache>
                <c:formatCode>0%</c:formatCode>
                <c:ptCount val="1"/>
                <c:pt idx="0">
                  <c:v>0.16786715717931841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FB-414C-8CD9-2DD361CC29C8}"/>
            </c:ext>
          </c:extLst>
        </c:ser>
        <c:ser>
          <c:idx val="2"/>
          <c:order val="2"/>
          <c:tx>
            <c:strRef>
              <c:f>'2021 FinResults in compile form'!$B$57</c:f>
              <c:strCache>
                <c:ptCount val="1"/>
                <c:pt idx="0">
                  <c:v>Management &amp; Administration</c:v>
                </c:pt>
              </c:strCache>
            </c:strRef>
          </c:tx>
          <c:spPr>
            <a:noFill/>
            <a:ln w="127000"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2.6433162140104098E-2"/>
                  <c:y val="0.46198475478291334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CAF7D9FE-71F5-BC4F-AA39-C5FDD26A31E5}" type="SERIESNAME">
                      <a:rPr lang="en-US" sz="1200"/>
                      <a:pPr>
                        <a:defRPr sz="1200"/>
                      </a:pPr>
                      <a:t>[SERIES NAME]</a:t>
                    </a:fld>
                    <a:endParaRPr lang="en-US" sz="1200" baseline="0"/>
                  </a:p>
                  <a:p>
                    <a:pPr>
                      <a:defRPr sz="1200"/>
                    </a:pPr>
                    <a:fld id="{36026119-96D5-CC47-950C-672EA64D6EE7}" type="VALUE">
                      <a:rPr lang="en-US" sz="1200" baseline="0"/>
                      <a:pPr>
                        <a:defRPr sz="1200"/>
                      </a:pPr>
                      <a:t>[VALUE]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6BFB-414C-8CD9-2DD361CC29C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19050" cap="flat" cmpd="sng" algn="ctr">
                      <a:solidFill>
                        <a:schemeClr val="dk1"/>
                      </a:solidFill>
                      <a:prstDash val="solid"/>
                      <a:miter lim="800000"/>
                    </a:ln>
                    <a:effectLst/>
                  </c:spPr>
                </c15:leaderLines>
              </c:ext>
            </c:extLst>
          </c:dLbls>
          <c:val>
            <c:numRef>
              <c:f>'2021 FinResults in compile form'!$C$57</c:f>
              <c:numCache>
                <c:formatCode>0%</c:formatCode>
                <c:ptCount val="1"/>
                <c:pt idx="0">
                  <c:v>5.299352333477076E-2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BFB-414C-8CD9-2DD361CC2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756339216"/>
        <c:axId val="756562864"/>
      </c:barChart>
      <c:catAx>
        <c:axId val="75633921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56562864"/>
        <c:crosses val="autoZero"/>
        <c:auto val="1"/>
        <c:lblAlgn val="ctr"/>
        <c:lblOffset val="100"/>
        <c:noMultiLvlLbl val="0"/>
      </c:catAx>
      <c:valAx>
        <c:axId val="756562864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756339216"/>
        <c:crosses val="autoZero"/>
        <c:crossBetween val="between"/>
      </c:valAx>
      <c:spPr>
        <a:blipFill>
          <a:blip xmlns:r="http://schemas.openxmlformats.org/officeDocument/2006/relationships" r:embed="rId3">
            <a:alphaModFix amt="62000"/>
          </a:blip>
          <a:stretch>
            <a:fillRect/>
          </a:stretch>
        </a:blip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0"/>
              <a:t>2021 Sources of WWA Revenue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133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6410650281618022"/>
          <c:y val="0.22963601184941571"/>
          <c:w val="0.65449227048403447"/>
          <c:h val="0.58957822365929735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B0F7-174A-9CD1-CAC3F4611A1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6-B0F7-174A-9CD1-CAC3F4611A1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7-B0F7-174A-9CD1-CAC3F4611A1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2-B0F7-174A-9CD1-CAC3F4611A17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5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5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B0F7-174A-9CD1-CAC3F4611A17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6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6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B0F7-174A-9CD1-CAC3F4611A17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4-B0F7-174A-9CD1-CAC3F4611A17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F-0841-694E-8006-F7183E57324F}"/>
              </c:ext>
            </c:extLst>
          </c:dPt>
          <c:dPt>
            <c:idx val="8"/>
            <c:bubble3D val="0"/>
            <c:spPr>
              <a:solidFill>
                <a:srgbClr val="00B050"/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1-0841-694E-8006-F7183E57324F}"/>
              </c:ext>
            </c:extLst>
          </c:dPt>
          <c:dLbls>
            <c:dLbl>
              <c:idx val="0"/>
              <c:layout>
                <c:manualLayout>
                  <c:x val="-6.2414175215488484E-2"/>
                  <c:y val="0.1428919960623597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0F7-174A-9CD1-CAC3F4611A17}"/>
                </c:ext>
              </c:extLst>
            </c:dLbl>
            <c:dLbl>
              <c:idx val="1"/>
              <c:layout>
                <c:manualLayout>
                  <c:x val="-0.29171279727860028"/>
                  <c:y val="4.388845087215849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0F7-174A-9CD1-CAC3F4611A17}"/>
                </c:ext>
              </c:extLst>
            </c:dLbl>
            <c:dLbl>
              <c:idx val="2"/>
              <c:layout>
                <c:manualLayout>
                  <c:x val="2.2283818979488669E-3"/>
                  <c:y val="9.79910927201242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0F7-174A-9CD1-CAC3F4611A17}"/>
                </c:ext>
              </c:extLst>
            </c:dLbl>
            <c:dLbl>
              <c:idx val="3"/>
              <c:layout>
                <c:manualLayout>
                  <c:x val="-5.255332182164868E-2"/>
                  <c:y val="-0.1000386739952606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0F7-174A-9CD1-CAC3F4611A17}"/>
                </c:ext>
              </c:extLst>
            </c:dLbl>
            <c:dLbl>
              <c:idx val="4"/>
              <c:layout>
                <c:manualLayout>
                  <c:x val="-9.5438959157215855E-2"/>
                  <c:y val="-8.6791926943912523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0F7-174A-9CD1-CAC3F4611A17}"/>
                </c:ext>
              </c:extLst>
            </c:dLbl>
            <c:dLbl>
              <c:idx val="7"/>
              <c:layout>
                <c:manualLayout>
                  <c:x val="1.2366768172895719E-2"/>
                  <c:y val="-0.1344813892048224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841-694E-8006-F7183E57324F}"/>
                </c:ext>
              </c:extLst>
            </c:dLbl>
            <c:dLbl>
              <c:idx val="8"/>
              <c:layout>
                <c:manualLayout>
                  <c:x val="3.3492663867991039E-2"/>
                  <c:y val="1.9134795602428003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841-694E-8006-F7183E57324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'2021 FinResults in compile form'!$C$4:$C$12</c:f>
              <c:strCache>
                <c:ptCount val="9"/>
                <c:pt idx="0">
                  <c:v>Contributions</c:v>
                </c:pt>
                <c:pt idx="1">
                  <c:v>Gain on extinguishment of PPP debt</c:v>
                </c:pt>
                <c:pt idx="2">
                  <c:v>Grants and other Program Service Fees</c:v>
                </c:pt>
                <c:pt idx="3">
                  <c:v>EXPO Revenue</c:v>
                </c:pt>
                <c:pt idx="4">
                  <c:v>Event Revenue (Net)</c:v>
                </c:pt>
                <c:pt idx="7">
                  <c:v>Other Revenue</c:v>
                </c:pt>
                <c:pt idx="8">
                  <c:v>Endowment growth - interest</c:v>
                </c:pt>
              </c:strCache>
            </c:strRef>
          </c:cat>
          <c:val>
            <c:numRef>
              <c:f>'2021 FinResults in compile form'!$F$4:$F$12</c:f>
              <c:numCache>
                <c:formatCode>_("$"* #,##0_);_("$"* \(#,##0\);_("$"* "-"??_);_(@_)</c:formatCode>
                <c:ptCount val="9"/>
                <c:pt idx="0">
                  <c:v>30719</c:v>
                </c:pt>
                <c:pt idx="1">
                  <c:v>50385</c:v>
                </c:pt>
                <c:pt idx="2">
                  <c:v>245239</c:v>
                </c:pt>
                <c:pt idx="3">
                  <c:v>34735</c:v>
                </c:pt>
                <c:pt idx="4">
                  <c:v>284578</c:v>
                </c:pt>
                <c:pt idx="5">
                  <c:v>538675</c:v>
                </c:pt>
                <c:pt idx="6">
                  <c:v>-254097</c:v>
                </c:pt>
                <c:pt idx="7">
                  <c:v>29464</c:v>
                </c:pt>
                <c:pt idx="8">
                  <c:v>10104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F7-174A-9CD1-CAC3F4611A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6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28</xdr:row>
      <xdr:rowOff>0</xdr:rowOff>
    </xdr:from>
    <xdr:to>
      <xdr:col>12</xdr:col>
      <xdr:colOff>132772</xdr:colOff>
      <xdr:row>50</xdr:row>
      <xdr:rowOff>160714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C80D5F4-732C-7542-B472-A28DF30A22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1092902</xdr:colOff>
      <xdr:row>59</xdr:row>
      <xdr:rowOff>38216</xdr:rowOff>
    </xdr:from>
    <xdr:to>
      <xdr:col>7</xdr:col>
      <xdr:colOff>431102</xdr:colOff>
      <xdr:row>77</xdr:row>
      <xdr:rowOff>46605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AEFAFB4-1B8E-7143-A9D4-A8CA69BB80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778310</xdr:colOff>
      <xdr:row>28</xdr:row>
      <xdr:rowOff>23303</xdr:rowOff>
    </xdr:from>
    <xdr:to>
      <xdr:col>6</xdr:col>
      <xdr:colOff>419450</xdr:colOff>
      <xdr:row>52</xdr:row>
      <xdr:rowOff>81560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626571F-82BF-BC4B-AF89-09197387E1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28</xdr:row>
      <xdr:rowOff>0</xdr:rowOff>
    </xdr:from>
    <xdr:to>
      <xdr:col>12</xdr:col>
      <xdr:colOff>132772</xdr:colOff>
      <xdr:row>50</xdr:row>
      <xdr:rowOff>160714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7A704AC-3E3A-7940-90C9-7590272C1F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1092900</xdr:colOff>
      <xdr:row>59</xdr:row>
      <xdr:rowOff>38216</xdr:rowOff>
    </xdr:from>
    <xdr:to>
      <xdr:col>8</xdr:col>
      <xdr:colOff>862202</xdr:colOff>
      <xdr:row>77</xdr:row>
      <xdr:rowOff>46605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5E8361FC-78F7-87CB-3DC1-18D56A9300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778310</xdr:colOff>
      <xdr:row>28</xdr:row>
      <xdr:rowOff>23303</xdr:rowOff>
    </xdr:from>
    <xdr:to>
      <xdr:col>6</xdr:col>
      <xdr:colOff>419450</xdr:colOff>
      <xdr:row>52</xdr:row>
      <xdr:rowOff>81560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22BCF2E5-6654-C2DD-8A78-2FD0FA6128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Bruce Ross" id="{34D628F4-F6B3-3144-AD59-89E3114018C2}" userId="2ce0d8fa9e3d1652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20" dT="2020-01-17T23:28:16.20" personId="{34D628F4-F6B3-3144-AD59-89E3114018C2}" id="{8DE47DA2-392E-304E-938C-18011C6B812A}">
    <text xml:space="preserve">This is the total event revenue and does NOT exclude the “cost of direct benefit to the donor” ($401,340—presumably the FMV of what the donors receeived for their contributions.)  But if we were to exclude the benefit $$, it would increase our % which is counter to intent of standard.  Seems like there’s something missiing—cost of sales vs fundraising expenses… 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91CF4-ADC0-DC48-933C-9F6F34E43012}">
  <dimension ref="A1:F32"/>
  <sheetViews>
    <sheetView tabSelected="1" view="pageLayout" topLeftCell="A2" zoomScale="131" zoomScaleNormal="100" zoomScalePageLayoutView="131" workbookViewId="0">
      <selection activeCell="A21" sqref="A21"/>
    </sheetView>
  </sheetViews>
  <sheetFormatPr baseColWidth="10" defaultRowHeight="16" x14ac:dyDescent="0.2"/>
  <cols>
    <col min="1" max="1" width="40.6640625" style="1" customWidth="1"/>
    <col min="2" max="2" width="18" style="14" customWidth="1"/>
    <col min="3" max="3" width="19" style="4" customWidth="1"/>
    <col min="4" max="4" width="14.5" style="4" customWidth="1"/>
    <col min="5" max="5" width="12.6640625" style="4" customWidth="1"/>
  </cols>
  <sheetData>
    <row r="1" spans="1:6" ht="22" x14ac:dyDescent="0.25">
      <c r="A1" s="7" t="s">
        <v>0</v>
      </c>
      <c r="B1" s="12"/>
    </row>
    <row r="2" spans="1:6" ht="34" x14ac:dyDescent="0.2">
      <c r="A2" s="2" t="s">
        <v>3</v>
      </c>
      <c r="B2" s="13" t="s">
        <v>8</v>
      </c>
      <c r="C2" s="5" t="s">
        <v>1</v>
      </c>
      <c r="D2" s="5" t="s">
        <v>2</v>
      </c>
      <c r="E2" s="3" t="s">
        <v>4</v>
      </c>
      <c r="F2" s="3" t="s">
        <v>6</v>
      </c>
    </row>
    <row r="3" spans="1:6" x14ac:dyDescent="0.2">
      <c r="B3" s="14">
        <v>2017</v>
      </c>
      <c r="C3" s="4">
        <f>'2021 FinResults in compile form'!J17</f>
        <v>233125</v>
      </c>
      <c r="D3" s="4">
        <f>'2021 FinResults in compile form'!J20</f>
        <v>381185</v>
      </c>
      <c r="E3" s="98">
        <f t="shared" ref="E3:E8" si="0">C3/D3</f>
        <v>0.61157967915841394</v>
      </c>
      <c r="F3" s="6" t="s">
        <v>110</v>
      </c>
    </row>
    <row r="4" spans="1:6" x14ac:dyDescent="0.2">
      <c r="B4" s="14">
        <v>2018</v>
      </c>
      <c r="C4" s="4">
        <f>'2021 FinResults in compile form'!I17</f>
        <v>258692</v>
      </c>
      <c r="D4" s="4">
        <f>'2021 FinResults in compile form'!I20</f>
        <v>432289</v>
      </c>
      <c r="E4" s="98">
        <f t="shared" si="0"/>
        <v>0.59842373967415319</v>
      </c>
      <c r="F4" s="6" t="s">
        <v>110</v>
      </c>
    </row>
    <row r="5" spans="1:6" ht="17" x14ac:dyDescent="0.2">
      <c r="B5" s="15" t="s">
        <v>9</v>
      </c>
      <c r="C5" s="11">
        <f>'2021 FinResults in compile form'!H17</f>
        <v>241021</v>
      </c>
      <c r="D5" s="11">
        <f>'2021 FinResults in compile form'!H20</f>
        <v>379324</v>
      </c>
      <c r="E5" s="99">
        <f t="shared" si="0"/>
        <v>0.63539612573947335</v>
      </c>
      <c r="F5" s="6" t="s">
        <v>110</v>
      </c>
    </row>
    <row r="6" spans="1:6" x14ac:dyDescent="0.2">
      <c r="B6" s="15">
        <v>2020</v>
      </c>
      <c r="C6" s="4">
        <v>231146</v>
      </c>
      <c r="D6" s="4">
        <v>349284</v>
      </c>
      <c r="E6" s="100">
        <f t="shared" si="0"/>
        <v>0.6617709371170738</v>
      </c>
      <c r="F6" s="6" t="s">
        <v>110</v>
      </c>
    </row>
    <row r="7" spans="1:6" ht="17" x14ac:dyDescent="0.2">
      <c r="B7" s="15" t="s">
        <v>130</v>
      </c>
      <c r="C7" s="4">
        <v>377620</v>
      </c>
      <c r="D7" s="4">
        <v>484663</v>
      </c>
      <c r="E7" s="100">
        <f t="shared" si="0"/>
        <v>0.77913931948591086</v>
      </c>
      <c r="F7" s="6" t="s">
        <v>110</v>
      </c>
    </row>
    <row r="8" spans="1:6" ht="17" x14ac:dyDescent="0.2">
      <c r="B8" s="14" t="s">
        <v>132</v>
      </c>
      <c r="C8" s="4">
        <f>'2022 FinResults in compile '!E17</f>
        <v>402325</v>
      </c>
      <c r="D8" s="4">
        <f>'2022 FinResults in compile '!E20</f>
        <v>509339</v>
      </c>
      <c r="E8" s="100">
        <f t="shared" si="0"/>
        <v>0.78989631659857185</v>
      </c>
      <c r="F8" s="6" t="s">
        <v>110</v>
      </c>
    </row>
    <row r="9" spans="1:6" x14ac:dyDescent="0.2">
      <c r="F9" s="6"/>
    </row>
    <row r="10" spans="1:6" x14ac:dyDescent="0.2">
      <c r="A10" s="8"/>
      <c r="B10" s="16"/>
      <c r="C10" s="9"/>
      <c r="D10" s="9"/>
      <c r="E10" s="9"/>
      <c r="F10" s="10"/>
    </row>
    <row r="11" spans="1:6" ht="85" x14ac:dyDescent="0.2">
      <c r="A11" s="2" t="s">
        <v>131</v>
      </c>
      <c r="B11" s="13"/>
      <c r="C11" s="5" t="s">
        <v>5</v>
      </c>
      <c r="D11" s="5" t="s">
        <v>7</v>
      </c>
      <c r="E11" s="3" t="s">
        <v>4</v>
      </c>
      <c r="F11" s="3" t="s">
        <v>6</v>
      </c>
    </row>
    <row r="12" spans="1:6" hidden="1" x14ac:dyDescent="0.2">
      <c r="C12" s="4">
        <v>139785</v>
      </c>
      <c r="E12" s="4">
        <v>224063</v>
      </c>
      <c r="F12" s="6">
        <v>0.35</v>
      </c>
    </row>
    <row r="13" spans="1:6" x14ac:dyDescent="0.2">
      <c r="B13" s="14">
        <v>2017</v>
      </c>
      <c r="C13" s="4">
        <f>'2021 FinResults in compile form'!J19</f>
        <v>116091</v>
      </c>
      <c r="D13" s="4">
        <f>'2021 FinResults in compile form'!J14-'2021 FinResults in compile form'!J12-'2021 FinResults in compile form'!J6</f>
        <v>284884</v>
      </c>
      <c r="E13" s="98">
        <f>C13/D13</f>
        <v>0.40750270285449514</v>
      </c>
      <c r="F13" s="6" t="s">
        <v>111</v>
      </c>
    </row>
    <row r="14" spans="1:6" x14ac:dyDescent="0.2">
      <c r="B14" s="14">
        <v>2018</v>
      </c>
      <c r="C14" s="4">
        <f>'2021 FinResults in compile form'!I19</f>
        <v>139785</v>
      </c>
      <c r="D14" s="4">
        <f>'2021 FinResults in compile form'!I14-'2021 FinResults in compile form'!I12-'2021 FinResults in compile form'!I6</f>
        <v>325139</v>
      </c>
      <c r="E14" s="98">
        <f t="shared" ref="E14:E15" si="1">C14/D14</f>
        <v>0.42992381719818296</v>
      </c>
      <c r="F14" s="6" t="s">
        <v>111</v>
      </c>
    </row>
    <row r="15" spans="1:6" ht="17" x14ac:dyDescent="0.2">
      <c r="A15" s="1" t="s">
        <v>112</v>
      </c>
      <c r="B15" s="15">
        <v>2019</v>
      </c>
      <c r="C15" s="11">
        <f>'2021 FinResults in compile form'!H19</f>
        <v>105613</v>
      </c>
      <c r="D15" s="11">
        <f>'2021 FinResults in compile form'!H14-'2021 FinResults in compile form'!H12-'2021 FinResults in compile form'!H6</f>
        <v>263785</v>
      </c>
      <c r="E15" s="98">
        <f t="shared" si="1"/>
        <v>0.40037530564664403</v>
      </c>
      <c r="F15" s="6" t="s">
        <v>111</v>
      </c>
    </row>
    <row r="16" spans="1:6" ht="17" x14ac:dyDescent="0.2">
      <c r="A16" s="1" t="s">
        <v>113</v>
      </c>
      <c r="B16" s="15">
        <v>2020</v>
      </c>
      <c r="C16" s="4">
        <v>95628</v>
      </c>
      <c r="D16" s="4">
        <v>349284</v>
      </c>
      <c r="E16" s="107">
        <f>C16/D16</f>
        <v>0.27378293881196963</v>
      </c>
      <c r="F16" s="6" t="s">
        <v>111</v>
      </c>
    </row>
    <row r="17" spans="1:6" ht="17" x14ac:dyDescent="0.2">
      <c r="B17" s="15" t="str">
        <f>B7</f>
        <v>2021 compiled</v>
      </c>
      <c r="C17" s="4">
        <v>81359</v>
      </c>
      <c r="D17" s="4">
        <f>'2021 FinResults in compile form'!F14-'2021 FinResults in compile form'!F12-'2021 FinResults in compile form'!F6-'2021 FinResults in compile form'!F5</f>
        <v>379496</v>
      </c>
      <c r="E17" s="107">
        <f>C17/D17</f>
        <v>0.21438697641081855</v>
      </c>
      <c r="F17" s="6" t="s">
        <v>111</v>
      </c>
    </row>
    <row r="18" spans="1:6" ht="17" x14ac:dyDescent="0.2">
      <c r="B18" s="14" t="s">
        <v>132</v>
      </c>
      <c r="C18" s="4">
        <f>'2022 FinResults in compile '!E19</f>
        <v>79091</v>
      </c>
      <c r="D18" s="4">
        <f>'2022 FinResults in compile '!E14-'2022 FinResults in compile '!E12-'2022 FinResults in compile '!E6-'2022 FinResults in compile '!E5</f>
        <v>390136</v>
      </c>
      <c r="E18" s="107">
        <f>C18/D18</f>
        <v>0.20272674144400926</v>
      </c>
      <c r="F18" s="6" t="s">
        <v>111</v>
      </c>
    </row>
    <row r="19" spans="1:6" ht="17" hidden="1" x14ac:dyDescent="0.2">
      <c r="A19" s="1" t="s">
        <v>11</v>
      </c>
      <c r="B19" s="14">
        <v>2018</v>
      </c>
      <c r="E19" s="4">
        <f>224063+62547</f>
        <v>286610</v>
      </c>
      <c r="F19" s="6" t="s">
        <v>111</v>
      </c>
    </row>
    <row r="20" spans="1:6" ht="17" hidden="1" x14ac:dyDescent="0.2">
      <c r="A20" s="1" t="s">
        <v>10</v>
      </c>
      <c r="B20" s="14">
        <v>2108</v>
      </c>
      <c r="E20" s="4">
        <v>625403</v>
      </c>
      <c r="F20" s="6" t="s">
        <v>111</v>
      </c>
    </row>
    <row r="31" spans="1:6" ht="17" x14ac:dyDescent="0.2">
      <c r="A31" s="1" t="s">
        <v>114</v>
      </c>
    </row>
    <row r="32" spans="1:6" ht="17" x14ac:dyDescent="0.2">
      <c r="A32" s="113" t="s">
        <v>115</v>
      </c>
    </row>
  </sheetData>
  <phoneticPr fontId="21" type="noConversion"/>
  <pageMargins left="0.7" right="0.47222222222222221" top="0.75" bottom="0.75" header="0.3" footer="0.3"/>
  <pageSetup orientation="landscape" horizontalDpi="0" verticalDpi="0"/>
  <headerFooter>
    <oddHeader xml:space="preserve">&amp;CFY 2017-21 BBB standard from comiplation </oddHead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982A7-33FF-634A-8391-B0398ECB5EAB}">
  <dimension ref="A1:O63"/>
  <sheetViews>
    <sheetView topLeftCell="A29" zoomScale="109" zoomScaleNormal="100" workbookViewId="0">
      <selection activeCell="D58" sqref="D58"/>
    </sheetView>
  </sheetViews>
  <sheetFormatPr baseColWidth="10" defaultRowHeight="16" x14ac:dyDescent="0.2"/>
  <cols>
    <col min="3" max="3" width="17.6640625" customWidth="1"/>
    <col min="4" max="4" width="42.83203125" customWidth="1"/>
    <col min="5" max="7" width="15.5" style="76" customWidth="1"/>
    <col min="8" max="8" width="14.6640625" style="76" customWidth="1"/>
    <col min="9" max="10" width="14.6640625" customWidth="1"/>
    <col min="11" max="11" width="10.83203125" customWidth="1"/>
    <col min="12" max="12" width="15.1640625" customWidth="1"/>
    <col min="13" max="13" width="10.83203125" style="75"/>
    <col min="14" max="14" width="12.33203125" customWidth="1"/>
  </cols>
  <sheetData>
    <row r="1" spans="1:13" ht="24" x14ac:dyDescent="0.3">
      <c r="A1" s="97" t="s">
        <v>12</v>
      </c>
      <c r="E1" s="101">
        <v>2022</v>
      </c>
      <c r="F1" s="101">
        <v>2021</v>
      </c>
      <c r="G1" s="101">
        <v>2020</v>
      </c>
      <c r="H1" s="101">
        <v>2019</v>
      </c>
      <c r="I1" s="102">
        <v>2018</v>
      </c>
      <c r="J1" s="102">
        <v>2017</v>
      </c>
      <c r="L1" s="75"/>
    </row>
    <row r="2" spans="1:13" s="92" customFormat="1" ht="14" hidden="1" x14ac:dyDescent="0.2">
      <c r="E2" s="93"/>
      <c r="F2" s="93"/>
      <c r="G2" s="93" t="s">
        <v>93</v>
      </c>
      <c r="H2" s="93" t="s">
        <v>93</v>
      </c>
      <c r="I2" s="94" t="s">
        <v>83</v>
      </c>
      <c r="J2" s="94" t="s">
        <v>83</v>
      </c>
      <c r="K2" s="95"/>
      <c r="M2" s="108"/>
    </row>
    <row r="3" spans="1:13" s="75" customFormat="1" x14ac:dyDescent="0.2">
      <c r="B3" s="75" t="s">
        <v>91</v>
      </c>
      <c r="E3" s="110" t="s">
        <v>129</v>
      </c>
      <c r="F3" s="110" t="s">
        <v>121</v>
      </c>
      <c r="G3" s="110" t="s">
        <v>121</v>
      </c>
      <c r="H3" s="110" t="s">
        <v>107</v>
      </c>
      <c r="I3" s="111" t="s">
        <v>105</v>
      </c>
      <c r="J3" s="111" t="s">
        <v>105</v>
      </c>
      <c r="K3" s="90"/>
      <c r="L3" s="75" t="s">
        <v>106</v>
      </c>
    </row>
    <row r="4" spans="1:13" s="75" customFormat="1" x14ac:dyDescent="0.2">
      <c r="C4" s="75" t="s">
        <v>13</v>
      </c>
      <c r="E4" s="90">
        <v>55091</v>
      </c>
      <c r="F4" s="90">
        <v>30719</v>
      </c>
      <c r="G4" s="90">
        <v>65408</v>
      </c>
      <c r="H4" s="90">
        <f>M4</f>
        <v>52238</v>
      </c>
      <c r="I4" s="90">
        <v>62547</v>
      </c>
      <c r="J4" s="90">
        <v>62943</v>
      </c>
      <c r="K4" s="90"/>
      <c r="L4" s="75" t="s">
        <v>95</v>
      </c>
      <c r="M4" s="90">
        <v>52238</v>
      </c>
    </row>
    <row r="5" spans="1:13" s="75" customFormat="1" x14ac:dyDescent="0.2">
      <c r="C5" s="75" t="s">
        <v>109</v>
      </c>
      <c r="E5" s="90">
        <v>0</v>
      </c>
      <c r="F5" s="90">
        <v>50385</v>
      </c>
      <c r="G5" s="90">
        <v>0</v>
      </c>
      <c r="H5" s="90"/>
      <c r="I5" s="90"/>
      <c r="J5" s="90"/>
      <c r="K5" s="90"/>
      <c r="M5" s="90"/>
    </row>
    <row r="6" spans="1:13" s="75" customFormat="1" x14ac:dyDescent="0.2">
      <c r="C6" s="75" t="s">
        <v>86</v>
      </c>
      <c r="E6" s="90">
        <v>209557</v>
      </c>
      <c r="F6" s="90">
        <v>245239</v>
      </c>
      <c r="G6" s="90">
        <v>102254</v>
      </c>
      <c r="H6" s="90">
        <f>M15</f>
        <v>112207</v>
      </c>
      <c r="I6" s="90">
        <v>123225</v>
      </c>
      <c r="J6" s="90">
        <v>88477</v>
      </c>
      <c r="K6" s="90"/>
      <c r="L6" s="75" t="s">
        <v>97</v>
      </c>
      <c r="M6" s="90">
        <v>197941</v>
      </c>
    </row>
    <row r="7" spans="1:13" s="75" customFormat="1" x14ac:dyDescent="0.2">
      <c r="C7" s="75" t="s">
        <v>108</v>
      </c>
      <c r="E7" s="90">
        <v>59046</v>
      </c>
      <c r="F7" s="90">
        <v>34735</v>
      </c>
      <c r="G7" s="90">
        <v>0</v>
      </c>
      <c r="H7" s="90"/>
      <c r="I7" s="90"/>
      <c r="J7" s="90"/>
      <c r="K7" s="90"/>
      <c r="M7" s="90"/>
    </row>
    <row r="8" spans="1:13" s="75" customFormat="1" x14ac:dyDescent="0.2">
      <c r="C8" s="75" t="s">
        <v>85</v>
      </c>
      <c r="E8" s="90">
        <f>E9+E10</f>
        <v>243665</v>
      </c>
      <c r="F8" s="90">
        <f>F9+F10</f>
        <v>284578</v>
      </c>
      <c r="G8" s="90">
        <f>G9+G10</f>
        <v>219055</v>
      </c>
      <c r="H8" s="90">
        <f>M6</f>
        <v>197941</v>
      </c>
      <c r="I8" s="90">
        <f>I9+I10</f>
        <v>224063</v>
      </c>
      <c r="J8" s="90">
        <f>J9+J10</f>
        <v>190148</v>
      </c>
      <c r="K8" s="90"/>
      <c r="L8" s="75" t="s">
        <v>98</v>
      </c>
      <c r="M8" s="90">
        <v>3201</v>
      </c>
    </row>
    <row r="9" spans="1:13" s="92" customFormat="1" x14ac:dyDescent="0.2">
      <c r="D9" s="106" t="s">
        <v>84</v>
      </c>
      <c r="E9" s="95">
        <v>547966</v>
      </c>
      <c r="F9" s="95">
        <v>538675</v>
      </c>
      <c r="G9" s="95">
        <v>527754</v>
      </c>
      <c r="H9" s="95">
        <v>600560</v>
      </c>
      <c r="I9" s="95">
        <v>625403</v>
      </c>
      <c r="J9" s="95">
        <v>565696</v>
      </c>
      <c r="K9" s="95"/>
      <c r="M9" s="90"/>
    </row>
    <row r="10" spans="1:13" s="92" customFormat="1" x14ac:dyDescent="0.2">
      <c r="D10" s="106" t="s">
        <v>14</v>
      </c>
      <c r="E10" s="95">
        <v>-304301</v>
      </c>
      <c r="F10" s="95">
        <v>-254097</v>
      </c>
      <c r="G10" s="95">
        <v>-308699</v>
      </c>
      <c r="H10" s="95">
        <f>-('2019 P&amp;L'!E20+'2019 P&amp;L'!E21+'2019 P&amp;L'!E22)</f>
        <v>-397119</v>
      </c>
      <c r="I10" s="95">
        <v>-401340</v>
      </c>
      <c r="J10" s="95">
        <v>-375548</v>
      </c>
      <c r="K10" s="95"/>
      <c r="M10" s="90"/>
    </row>
    <row r="11" spans="1:13" x14ac:dyDescent="0.2">
      <c r="C11" s="75" t="s">
        <v>15</v>
      </c>
      <c r="E11" s="90">
        <v>32334</v>
      </c>
      <c r="F11" s="90">
        <v>29464</v>
      </c>
      <c r="G11" s="90">
        <v>25030</v>
      </c>
      <c r="H11" s="90">
        <f>M11+M12+M14+M8</f>
        <v>13606</v>
      </c>
      <c r="I11" s="90">
        <v>38529</v>
      </c>
      <c r="J11" s="90">
        <v>31793</v>
      </c>
      <c r="K11" s="17"/>
      <c r="L11" s="75" t="s">
        <v>96</v>
      </c>
      <c r="M11" s="90">
        <v>64</v>
      </c>
    </row>
    <row r="12" spans="1:13" x14ac:dyDescent="0.2">
      <c r="C12" s="75" t="s">
        <v>90</v>
      </c>
      <c r="E12" s="90">
        <v>1402</v>
      </c>
      <c r="F12" s="90">
        <v>10104</v>
      </c>
      <c r="G12" s="90">
        <v>3040</v>
      </c>
      <c r="H12" s="90">
        <v>3987</v>
      </c>
      <c r="I12" s="90">
        <v>-2467</v>
      </c>
      <c r="J12" s="90">
        <v>2695</v>
      </c>
      <c r="K12" s="17"/>
      <c r="L12" s="75" t="s">
        <v>99</v>
      </c>
      <c r="M12" s="90">
        <v>10070</v>
      </c>
    </row>
    <row r="13" spans="1:13" x14ac:dyDescent="0.2">
      <c r="D13" t="s">
        <v>16</v>
      </c>
      <c r="E13" s="91"/>
      <c r="F13" s="91"/>
      <c r="G13" s="91"/>
      <c r="H13" s="91"/>
      <c r="I13" s="91"/>
      <c r="J13" s="91"/>
      <c r="K13" s="17"/>
      <c r="M13" s="90"/>
    </row>
    <row r="14" spans="1:13" x14ac:dyDescent="0.2">
      <c r="C14" s="103" t="s">
        <v>17</v>
      </c>
      <c r="D14" s="104"/>
      <c r="E14" s="105">
        <f>E4+E5+E6+E7+E8+E11+E12</f>
        <v>601095</v>
      </c>
      <c r="F14" s="105">
        <f>F4+F5+F6+F7+F8+F11+F12</f>
        <v>685224</v>
      </c>
      <c r="G14" s="105">
        <f>G4+G6+G8+G11+G12</f>
        <v>414787</v>
      </c>
      <c r="H14" s="105">
        <f>H4+H6+H8+H11+H12</f>
        <v>379979</v>
      </c>
      <c r="I14" s="105">
        <f>I4+I6+I8+I11+I12</f>
        <v>445897</v>
      </c>
      <c r="J14" s="105">
        <f>J4+J6+J8+J11+J12</f>
        <v>376056</v>
      </c>
      <c r="K14" s="17"/>
      <c r="L14" s="75" t="s">
        <v>100</v>
      </c>
      <c r="M14" s="90">
        <v>271</v>
      </c>
    </row>
    <row r="15" spans="1:13" x14ac:dyDescent="0.2">
      <c r="E15" s="17"/>
      <c r="F15" s="17"/>
      <c r="G15" s="17"/>
      <c r="H15" s="17"/>
      <c r="I15" s="17"/>
      <c r="J15" s="17"/>
      <c r="K15" s="17"/>
      <c r="L15" s="96" t="s">
        <v>101</v>
      </c>
      <c r="M15" s="109">
        <v>112207</v>
      </c>
    </row>
    <row r="16" spans="1:13" x14ac:dyDescent="0.2">
      <c r="B16" s="75" t="s">
        <v>18</v>
      </c>
      <c r="E16" s="17"/>
      <c r="F16" s="17"/>
      <c r="G16" s="17"/>
      <c r="H16" s="17"/>
      <c r="I16" s="17"/>
      <c r="J16" s="17"/>
      <c r="K16" s="17"/>
      <c r="L16" s="75" t="s">
        <v>103</v>
      </c>
      <c r="M16" s="90">
        <f>SUM(M4:M15)</f>
        <v>375992</v>
      </c>
    </row>
    <row r="17" spans="2:15" ht="30" customHeight="1" x14ac:dyDescent="0.2">
      <c r="C17" s="123" t="s">
        <v>126</v>
      </c>
      <c r="D17" s="112" t="s">
        <v>127</v>
      </c>
      <c r="E17" s="90">
        <v>402325</v>
      </c>
      <c r="F17" s="90">
        <v>377620</v>
      </c>
      <c r="G17" s="90">
        <v>230591</v>
      </c>
      <c r="H17" s="90">
        <f>M18</f>
        <v>241021</v>
      </c>
      <c r="I17" s="90">
        <v>258692</v>
      </c>
      <c r="J17" s="90">
        <v>233125</v>
      </c>
      <c r="K17" s="17"/>
      <c r="M17" s="90"/>
    </row>
    <row r="18" spans="2:15" x14ac:dyDescent="0.2">
      <c r="C18" s="75" t="s">
        <v>92</v>
      </c>
      <c r="E18" s="90">
        <v>27923</v>
      </c>
      <c r="F18" s="90">
        <v>25684</v>
      </c>
      <c r="G18" s="90">
        <v>24945</v>
      </c>
      <c r="H18" s="90">
        <f>M20</f>
        <v>32690</v>
      </c>
      <c r="I18" s="90">
        <v>33812</v>
      </c>
      <c r="J18" s="90">
        <v>31969</v>
      </c>
      <c r="K18" s="17"/>
      <c r="L18" s="75" t="s">
        <v>102</v>
      </c>
      <c r="M18" s="90">
        <v>241021</v>
      </c>
    </row>
    <row r="19" spans="2:15" ht="16" customHeight="1" x14ac:dyDescent="0.2">
      <c r="C19" s="75" t="s">
        <v>19</v>
      </c>
      <c r="E19" s="90">
        <v>79091</v>
      </c>
      <c r="F19" s="90">
        <v>81359</v>
      </c>
      <c r="G19" s="90">
        <v>72535</v>
      </c>
      <c r="H19" s="90">
        <f>M19</f>
        <v>105613</v>
      </c>
      <c r="I19" s="90">
        <v>139785</v>
      </c>
      <c r="J19" s="90">
        <v>116091</v>
      </c>
      <c r="K19" s="17"/>
      <c r="L19" s="75" t="s">
        <v>19</v>
      </c>
      <c r="M19" s="90">
        <v>105613</v>
      </c>
    </row>
    <row r="20" spans="2:15" ht="16" customHeight="1" x14ac:dyDescent="0.2">
      <c r="C20" s="103" t="s">
        <v>2</v>
      </c>
      <c r="D20" s="104"/>
      <c r="E20" s="105">
        <f t="shared" ref="E20:J20" si="0">E17+E18+E19</f>
        <v>509339</v>
      </c>
      <c r="F20" s="105">
        <f t="shared" si="0"/>
        <v>484663</v>
      </c>
      <c r="G20" s="105">
        <f t="shared" si="0"/>
        <v>328071</v>
      </c>
      <c r="H20" s="105">
        <f t="shared" si="0"/>
        <v>379324</v>
      </c>
      <c r="I20" s="105">
        <f t="shared" si="0"/>
        <v>432289</v>
      </c>
      <c r="J20" s="105">
        <f t="shared" si="0"/>
        <v>381185</v>
      </c>
      <c r="K20" s="17"/>
      <c r="L20" s="75" t="s">
        <v>104</v>
      </c>
      <c r="M20" s="109">
        <v>32690</v>
      </c>
    </row>
    <row r="21" spans="2:15" x14ac:dyDescent="0.2">
      <c r="E21" s="17"/>
      <c r="F21" s="17"/>
      <c r="G21" s="17"/>
      <c r="H21" s="17"/>
      <c r="I21" s="17"/>
      <c r="J21" s="17"/>
      <c r="K21" s="17"/>
      <c r="M21" s="90">
        <f>SUM(M18:M20)</f>
        <v>379324</v>
      </c>
    </row>
    <row r="22" spans="2:15" x14ac:dyDescent="0.2">
      <c r="B22" s="75" t="s">
        <v>20</v>
      </c>
      <c r="E22" s="90">
        <f t="shared" ref="E22:J22" si="1">E14-E20</f>
        <v>91756</v>
      </c>
      <c r="F22" s="90">
        <f t="shared" si="1"/>
        <v>200561</v>
      </c>
      <c r="G22" s="90">
        <f t="shared" si="1"/>
        <v>86716</v>
      </c>
      <c r="H22" s="90">
        <f t="shared" si="1"/>
        <v>655</v>
      </c>
      <c r="I22" s="90">
        <f t="shared" si="1"/>
        <v>13608</v>
      </c>
      <c r="J22" s="90">
        <f t="shared" si="1"/>
        <v>-5129</v>
      </c>
      <c r="K22" s="17"/>
      <c r="O22" s="90"/>
    </row>
    <row r="23" spans="2:15" x14ac:dyDescent="0.2">
      <c r="B23" s="75"/>
      <c r="E23" s="17"/>
      <c r="F23" s="17"/>
      <c r="G23" s="17"/>
      <c r="H23" s="17"/>
      <c r="I23" s="17"/>
      <c r="J23" s="17"/>
      <c r="K23" s="17"/>
      <c r="O23" s="90"/>
    </row>
    <row r="24" spans="2:15" x14ac:dyDescent="0.2">
      <c r="B24" s="75" t="s">
        <v>21</v>
      </c>
      <c r="E24" s="90"/>
      <c r="F24" s="90">
        <f>G26</f>
        <v>353927</v>
      </c>
      <c r="G24" s="90">
        <v>267211</v>
      </c>
      <c r="H24" s="90">
        <v>267211</v>
      </c>
      <c r="I24" s="90">
        <f>J26</f>
        <v>256934</v>
      </c>
      <c r="J24" s="90">
        <v>262063</v>
      </c>
      <c r="K24" s="17"/>
    </row>
    <row r="25" spans="2:15" x14ac:dyDescent="0.2">
      <c r="B25" s="75"/>
      <c r="E25"/>
      <c r="F25"/>
      <c r="G25"/>
      <c r="H25"/>
    </row>
    <row r="26" spans="2:15" s="75" customFormat="1" x14ac:dyDescent="0.2">
      <c r="B26" s="75" t="s">
        <v>22</v>
      </c>
      <c r="E26" s="90"/>
      <c r="F26" s="90">
        <f t="shared" ref="F26:H26" si="2">F22+F24</f>
        <v>554488</v>
      </c>
      <c r="G26" s="90">
        <f t="shared" si="2"/>
        <v>353927</v>
      </c>
      <c r="H26" s="90">
        <f t="shared" si="2"/>
        <v>267866</v>
      </c>
      <c r="I26" s="90">
        <f>I22+I24</f>
        <v>270542</v>
      </c>
      <c r="J26" s="90">
        <f>J22+J24</f>
        <v>256934</v>
      </c>
    </row>
    <row r="31" spans="2:15" x14ac:dyDescent="0.2">
      <c r="D31" t="s">
        <v>87</v>
      </c>
      <c r="G31" s="76" t="s">
        <v>122</v>
      </c>
    </row>
    <row r="32" spans="2:15" x14ac:dyDescent="0.2">
      <c r="D32" t="s">
        <v>88</v>
      </c>
    </row>
    <row r="33" spans="4:4" x14ac:dyDescent="0.2">
      <c r="D33" t="s">
        <v>89</v>
      </c>
    </row>
    <row r="53" spans="1:13" x14ac:dyDescent="0.2">
      <c r="A53" t="s">
        <v>116</v>
      </c>
    </row>
    <row r="54" spans="1:13" x14ac:dyDescent="0.2">
      <c r="B54" s="116" t="s">
        <v>117</v>
      </c>
      <c r="C54" s="115" t="s">
        <v>4</v>
      </c>
      <c r="D54" s="115" t="s">
        <v>119</v>
      </c>
    </row>
    <row r="55" spans="1:13" x14ac:dyDescent="0.2">
      <c r="B55" s="118" t="s">
        <v>118</v>
      </c>
      <c r="C55" s="120">
        <f>D55/D58</f>
        <v>0.78989631659857185</v>
      </c>
      <c r="D55" s="119">
        <f>E17</f>
        <v>402325</v>
      </c>
      <c r="H55"/>
      <c r="L55" s="75"/>
      <c r="M55"/>
    </row>
    <row r="56" spans="1:13" x14ac:dyDescent="0.2">
      <c r="B56" s="118" t="s">
        <v>19</v>
      </c>
      <c r="C56" s="120">
        <f>D56/D58</f>
        <v>0.15528164935337763</v>
      </c>
      <c r="D56" s="119">
        <f>E19</f>
        <v>79091</v>
      </c>
      <c r="H56"/>
      <c r="L56" s="75"/>
      <c r="M56"/>
    </row>
    <row r="57" spans="1:13" x14ac:dyDescent="0.2">
      <c r="B57" s="118" t="s">
        <v>128</v>
      </c>
      <c r="C57" s="120">
        <f>D57/D58</f>
        <v>5.4822034048050514E-2</v>
      </c>
      <c r="D57" s="119">
        <f>E18</f>
        <v>27923</v>
      </c>
      <c r="H57"/>
      <c r="L57" s="75"/>
      <c r="M57"/>
    </row>
    <row r="58" spans="1:13" x14ac:dyDescent="0.2">
      <c r="B58" t="s">
        <v>120</v>
      </c>
      <c r="C58" s="121">
        <f>SUM(C55:C57)</f>
        <v>1</v>
      </c>
      <c r="D58" s="114">
        <f>SUM(D55:D57)</f>
        <v>509339</v>
      </c>
    </row>
    <row r="59" spans="1:13" x14ac:dyDescent="0.2">
      <c r="C59" s="122"/>
    </row>
    <row r="60" spans="1:13" x14ac:dyDescent="0.2">
      <c r="C60" s="122"/>
    </row>
    <row r="61" spans="1:13" x14ac:dyDescent="0.2">
      <c r="C61" s="122"/>
    </row>
    <row r="62" spans="1:13" x14ac:dyDescent="0.2">
      <c r="B62" t="s">
        <v>124</v>
      </c>
      <c r="C62" s="122" t="s">
        <v>125</v>
      </c>
    </row>
    <row r="63" spans="1:13" x14ac:dyDescent="0.2">
      <c r="B63" t="s">
        <v>123</v>
      </c>
      <c r="C63" s="121">
        <v>1</v>
      </c>
      <c r="D63" s="117"/>
    </row>
  </sheetData>
  <pageMargins left="0.7" right="0.7" top="0.75" bottom="0.75" header="0.3" footer="0.3"/>
  <pageSetup orientation="landscape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B063F-1E3F-1E4E-ADE4-BBE06991A47A}">
  <dimension ref="A1:O63"/>
  <sheetViews>
    <sheetView zoomScale="109" zoomScaleNormal="100" workbookViewId="0">
      <selection activeCell="F57" sqref="F57"/>
    </sheetView>
  </sheetViews>
  <sheetFormatPr baseColWidth="10" defaultRowHeight="16" x14ac:dyDescent="0.2"/>
  <cols>
    <col min="3" max="3" width="17.6640625" customWidth="1"/>
    <col min="4" max="4" width="42.83203125" customWidth="1"/>
    <col min="5" max="7" width="15.5" style="76" customWidth="1"/>
    <col min="8" max="8" width="14.6640625" style="76" customWidth="1"/>
    <col min="9" max="10" width="14.6640625" customWidth="1"/>
    <col min="11" max="11" width="10.83203125" customWidth="1"/>
    <col min="12" max="12" width="15.1640625" customWidth="1"/>
    <col min="13" max="13" width="10.83203125" style="75"/>
    <col min="14" max="14" width="12.33203125" customWidth="1"/>
  </cols>
  <sheetData>
    <row r="1" spans="1:13" ht="24" x14ac:dyDescent="0.3">
      <c r="A1" s="97" t="s">
        <v>12</v>
      </c>
      <c r="E1" s="101">
        <v>2022</v>
      </c>
      <c r="F1" s="101">
        <v>2021</v>
      </c>
      <c r="G1" s="101">
        <v>2020</v>
      </c>
      <c r="H1" s="101">
        <v>2019</v>
      </c>
      <c r="I1" s="102">
        <v>2018</v>
      </c>
      <c r="J1" s="102">
        <v>2017</v>
      </c>
      <c r="L1" s="75"/>
    </row>
    <row r="2" spans="1:13" s="92" customFormat="1" ht="14" hidden="1" x14ac:dyDescent="0.2">
      <c r="E2" s="93"/>
      <c r="F2" s="93"/>
      <c r="G2" s="93" t="s">
        <v>93</v>
      </c>
      <c r="H2" s="93" t="s">
        <v>93</v>
      </c>
      <c r="I2" s="94" t="s">
        <v>83</v>
      </c>
      <c r="J2" s="94" t="s">
        <v>83</v>
      </c>
      <c r="K2" s="95"/>
      <c r="M2" s="108"/>
    </row>
    <row r="3" spans="1:13" s="75" customFormat="1" x14ac:dyDescent="0.2">
      <c r="B3" s="75" t="s">
        <v>91</v>
      </c>
      <c r="E3" s="110" t="s">
        <v>129</v>
      </c>
      <c r="F3" s="110" t="s">
        <v>121</v>
      </c>
      <c r="G3" s="110" t="s">
        <v>121</v>
      </c>
      <c r="H3" s="110" t="s">
        <v>107</v>
      </c>
      <c r="I3" s="111" t="s">
        <v>105</v>
      </c>
      <c r="J3" s="111" t="s">
        <v>105</v>
      </c>
      <c r="K3" s="90"/>
      <c r="L3" s="75" t="s">
        <v>106</v>
      </c>
    </row>
    <row r="4" spans="1:13" s="75" customFormat="1" x14ac:dyDescent="0.2">
      <c r="C4" s="75" t="s">
        <v>13</v>
      </c>
      <c r="E4" s="90">
        <v>55091</v>
      </c>
      <c r="F4" s="90">
        <v>30719</v>
      </c>
      <c r="G4" s="90">
        <v>65408</v>
      </c>
      <c r="H4" s="90">
        <f>M4</f>
        <v>52238</v>
      </c>
      <c r="I4" s="90">
        <v>62547</v>
      </c>
      <c r="J4" s="90">
        <v>62943</v>
      </c>
      <c r="K4" s="90"/>
      <c r="L4" s="75" t="s">
        <v>95</v>
      </c>
      <c r="M4" s="90">
        <v>52238</v>
      </c>
    </row>
    <row r="5" spans="1:13" s="75" customFormat="1" x14ac:dyDescent="0.2">
      <c r="C5" s="75" t="s">
        <v>109</v>
      </c>
      <c r="E5" s="90">
        <v>0</v>
      </c>
      <c r="F5" s="90">
        <v>50385</v>
      </c>
      <c r="G5" s="90">
        <v>0</v>
      </c>
      <c r="H5" s="90"/>
      <c r="I5" s="90"/>
      <c r="J5" s="90"/>
      <c r="K5" s="90"/>
      <c r="M5" s="90"/>
    </row>
    <row r="6" spans="1:13" s="75" customFormat="1" x14ac:dyDescent="0.2">
      <c r="C6" s="75" t="s">
        <v>86</v>
      </c>
      <c r="E6" s="90">
        <v>209557</v>
      </c>
      <c r="F6" s="90">
        <v>245239</v>
      </c>
      <c r="G6" s="90">
        <v>102254</v>
      </c>
      <c r="H6" s="90">
        <f>M15</f>
        <v>112207</v>
      </c>
      <c r="I6" s="90">
        <v>123225</v>
      </c>
      <c r="J6" s="90">
        <v>88477</v>
      </c>
      <c r="K6" s="90"/>
      <c r="L6" s="75" t="s">
        <v>97</v>
      </c>
      <c r="M6" s="90">
        <v>197941</v>
      </c>
    </row>
    <row r="7" spans="1:13" s="75" customFormat="1" x14ac:dyDescent="0.2">
      <c r="C7" s="75" t="s">
        <v>108</v>
      </c>
      <c r="E7" s="90">
        <v>59046</v>
      </c>
      <c r="F7" s="90">
        <v>34735</v>
      </c>
      <c r="G7" s="90">
        <v>0</v>
      </c>
      <c r="H7" s="90"/>
      <c r="I7" s="90"/>
      <c r="J7" s="90"/>
      <c r="K7" s="90"/>
      <c r="M7" s="90"/>
    </row>
    <row r="8" spans="1:13" s="75" customFormat="1" x14ac:dyDescent="0.2">
      <c r="C8" s="75" t="s">
        <v>85</v>
      </c>
      <c r="E8" s="90">
        <f>E9+E10</f>
        <v>243665</v>
      </c>
      <c r="F8" s="90">
        <f>F9+F10</f>
        <v>284578</v>
      </c>
      <c r="G8" s="90">
        <f>G9+G10</f>
        <v>219055</v>
      </c>
      <c r="H8" s="90">
        <f>M6</f>
        <v>197941</v>
      </c>
      <c r="I8" s="90">
        <f>I9+I10</f>
        <v>224063</v>
      </c>
      <c r="J8" s="90">
        <f>J9+J10</f>
        <v>190148</v>
      </c>
      <c r="K8" s="90"/>
      <c r="L8" s="75" t="s">
        <v>98</v>
      </c>
      <c r="M8" s="90">
        <v>3201</v>
      </c>
    </row>
    <row r="9" spans="1:13" s="92" customFormat="1" x14ac:dyDescent="0.2">
      <c r="D9" s="106" t="s">
        <v>84</v>
      </c>
      <c r="E9" s="95">
        <v>547966</v>
      </c>
      <c r="F9" s="95">
        <v>538675</v>
      </c>
      <c r="G9" s="95">
        <v>527754</v>
      </c>
      <c r="H9" s="95">
        <v>600560</v>
      </c>
      <c r="I9" s="95">
        <v>625403</v>
      </c>
      <c r="J9" s="95">
        <v>565696</v>
      </c>
      <c r="K9" s="95"/>
      <c r="M9" s="90"/>
    </row>
    <row r="10" spans="1:13" s="92" customFormat="1" x14ac:dyDescent="0.2">
      <c r="D10" s="106" t="s">
        <v>14</v>
      </c>
      <c r="E10" s="95">
        <v>-304301</v>
      </c>
      <c r="F10" s="95">
        <v>-254097</v>
      </c>
      <c r="G10" s="95">
        <v>-308699</v>
      </c>
      <c r="H10" s="95">
        <f>-('2019 P&amp;L'!E20+'2019 P&amp;L'!E21+'2019 P&amp;L'!E22)</f>
        <v>-397119</v>
      </c>
      <c r="I10" s="95">
        <v>-401340</v>
      </c>
      <c r="J10" s="95">
        <v>-375548</v>
      </c>
      <c r="K10" s="95"/>
      <c r="M10" s="90"/>
    </row>
    <row r="11" spans="1:13" x14ac:dyDescent="0.2">
      <c r="C11" s="75" t="s">
        <v>15</v>
      </c>
      <c r="E11" s="90">
        <v>32334</v>
      </c>
      <c r="F11" s="90">
        <v>29464</v>
      </c>
      <c r="G11" s="90">
        <v>25030</v>
      </c>
      <c r="H11" s="90">
        <f>M11+M12+M14+M8</f>
        <v>13606</v>
      </c>
      <c r="I11" s="90">
        <v>38529</v>
      </c>
      <c r="J11" s="90">
        <v>31793</v>
      </c>
      <c r="K11" s="17"/>
      <c r="L11" s="75" t="s">
        <v>96</v>
      </c>
      <c r="M11" s="90">
        <v>64</v>
      </c>
    </row>
    <row r="12" spans="1:13" x14ac:dyDescent="0.2">
      <c r="C12" s="75" t="s">
        <v>90</v>
      </c>
      <c r="E12" s="90">
        <v>1402</v>
      </c>
      <c r="F12" s="90">
        <v>10104</v>
      </c>
      <c r="G12" s="90">
        <v>3040</v>
      </c>
      <c r="H12" s="90">
        <v>3987</v>
      </c>
      <c r="I12" s="90">
        <v>-2467</v>
      </c>
      <c r="J12" s="90">
        <v>2695</v>
      </c>
      <c r="K12" s="17"/>
      <c r="L12" s="75" t="s">
        <v>99</v>
      </c>
      <c r="M12" s="90">
        <v>10070</v>
      </c>
    </row>
    <row r="13" spans="1:13" x14ac:dyDescent="0.2">
      <c r="D13" t="s">
        <v>16</v>
      </c>
      <c r="E13" s="91"/>
      <c r="F13" s="91"/>
      <c r="G13" s="91"/>
      <c r="H13" s="91"/>
      <c r="I13" s="91"/>
      <c r="J13" s="91"/>
      <c r="K13" s="17"/>
      <c r="M13" s="90"/>
    </row>
    <row r="14" spans="1:13" x14ac:dyDescent="0.2">
      <c r="C14" s="103" t="s">
        <v>17</v>
      </c>
      <c r="D14" s="104"/>
      <c r="E14" s="105">
        <f>E4+E5+E6+E7+E8+E11+E12</f>
        <v>601095</v>
      </c>
      <c r="F14" s="105">
        <f>F4+F5+F6+F7+F8+F11+F12</f>
        <v>685224</v>
      </c>
      <c r="G14" s="105">
        <f>G4+G6+G8+G11+G12</f>
        <v>414787</v>
      </c>
      <c r="H14" s="105">
        <f>H4+H6+H8+H11+H12</f>
        <v>379979</v>
      </c>
      <c r="I14" s="105">
        <f>I4+I6+I8+I11+I12</f>
        <v>445897</v>
      </c>
      <c r="J14" s="105">
        <f>J4+J6+J8+J11+J12</f>
        <v>376056</v>
      </c>
      <c r="K14" s="17"/>
      <c r="L14" s="75" t="s">
        <v>100</v>
      </c>
      <c r="M14" s="90">
        <v>271</v>
      </c>
    </row>
    <row r="15" spans="1:13" x14ac:dyDescent="0.2">
      <c r="E15" s="17"/>
      <c r="F15" s="17"/>
      <c r="G15" s="17"/>
      <c r="H15" s="17"/>
      <c r="I15" s="17"/>
      <c r="J15" s="17"/>
      <c r="K15" s="17"/>
      <c r="L15" s="96" t="s">
        <v>101</v>
      </c>
      <c r="M15" s="109">
        <v>112207</v>
      </c>
    </row>
    <row r="16" spans="1:13" x14ac:dyDescent="0.2">
      <c r="B16" s="75" t="s">
        <v>18</v>
      </c>
      <c r="E16" s="17"/>
      <c r="F16" s="17"/>
      <c r="G16" s="17"/>
      <c r="H16" s="17"/>
      <c r="I16" s="17"/>
      <c r="J16" s="17"/>
      <c r="K16" s="17"/>
      <c r="L16" s="75" t="s">
        <v>103</v>
      </c>
      <c r="M16" s="90">
        <f>SUM(M4:M15)</f>
        <v>375992</v>
      </c>
    </row>
    <row r="17" spans="2:15" ht="30" customHeight="1" x14ac:dyDescent="0.2">
      <c r="C17" s="123" t="s">
        <v>126</v>
      </c>
      <c r="D17" s="112" t="s">
        <v>127</v>
      </c>
      <c r="E17" s="90">
        <v>402325</v>
      </c>
      <c r="F17" s="90">
        <v>377620</v>
      </c>
      <c r="G17" s="90">
        <v>230591</v>
      </c>
      <c r="H17" s="90">
        <f>M18</f>
        <v>241021</v>
      </c>
      <c r="I17" s="90">
        <v>258692</v>
      </c>
      <c r="J17" s="90">
        <v>233125</v>
      </c>
      <c r="K17" s="17"/>
      <c r="M17" s="90"/>
    </row>
    <row r="18" spans="2:15" x14ac:dyDescent="0.2">
      <c r="C18" s="75" t="s">
        <v>92</v>
      </c>
      <c r="E18" s="90">
        <v>27923</v>
      </c>
      <c r="F18" s="90">
        <v>25684</v>
      </c>
      <c r="G18" s="90">
        <v>24945</v>
      </c>
      <c r="H18" s="90">
        <f>M20</f>
        <v>32690</v>
      </c>
      <c r="I18" s="90">
        <v>33812</v>
      </c>
      <c r="J18" s="90">
        <v>31969</v>
      </c>
      <c r="K18" s="17"/>
      <c r="L18" s="75" t="s">
        <v>102</v>
      </c>
      <c r="M18" s="90">
        <v>241021</v>
      </c>
    </row>
    <row r="19" spans="2:15" ht="16" customHeight="1" x14ac:dyDescent="0.2">
      <c r="C19" s="75" t="s">
        <v>19</v>
      </c>
      <c r="E19" s="90">
        <v>79091</v>
      </c>
      <c r="F19" s="90">
        <v>81359</v>
      </c>
      <c r="G19" s="90">
        <v>72535</v>
      </c>
      <c r="H19" s="90">
        <f>M19</f>
        <v>105613</v>
      </c>
      <c r="I19" s="90">
        <v>139785</v>
      </c>
      <c r="J19" s="90">
        <v>116091</v>
      </c>
      <c r="K19" s="17"/>
      <c r="L19" s="75" t="s">
        <v>19</v>
      </c>
      <c r="M19" s="90">
        <v>105613</v>
      </c>
    </row>
    <row r="20" spans="2:15" ht="16" customHeight="1" x14ac:dyDescent="0.2">
      <c r="C20" s="103" t="s">
        <v>2</v>
      </c>
      <c r="D20" s="104"/>
      <c r="E20" s="105">
        <f t="shared" ref="E20:J20" si="0">E17+E18+E19</f>
        <v>509339</v>
      </c>
      <c r="F20" s="105">
        <f t="shared" si="0"/>
        <v>484663</v>
      </c>
      <c r="G20" s="105">
        <f t="shared" si="0"/>
        <v>328071</v>
      </c>
      <c r="H20" s="105">
        <f t="shared" si="0"/>
        <v>379324</v>
      </c>
      <c r="I20" s="105">
        <f t="shared" si="0"/>
        <v>432289</v>
      </c>
      <c r="J20" s="105">
        <f t="shared" si="0"/>
        <v>381185</v>
      </c>
      <c r="K20" s="17"/>
      <c r="L20" s="75" t="s">
        <v>104</v>
      </c>
      <c r="M20" s="109">
        <v>32690</v>
      </c>
    </row>
    <row r="21" spans="2:15" x14ac:dyDescent="0.2">
      <c r="E21" s="17"/>
      <c r="F21" s="17"/>
      <c r="G21" s="17"/>
      <c r="H21" s="17"/>
      <c r="I21" s="17"/>
      <c r="J21" s="17"/>
      <c r="K21" s="17"/>
      <c r="M21" s="90">
        <f>SUM(M18:M20)</f>
        <v>379324</v>
      </c>
    </row>
    <row r="22" spans="2:15" x14ac:dyDescent="0.2">
      <c r="B22" s="75" t="s">
        <v>20</v>
      </c>
      <c r="E22" s="90">
        <f t="shared" ref="E22:J22" si="1">E14-E20</f>
        <v>91756</v>
      </c>
      <c r="F22" s="90">
        <f t="shared" si="1"/>
        <v>200561</v>
      </c>
      <c r="G22" s="90">
        <f t="shared" si="1"/>
        <v>86716</v>
      </c>
      <c r="H22" s="90">
        <f t="shared" si="1"/>
        <v>655</v>
      </c>
      <c r="I22" s="90">
        <f t="shared" si="1"/>
        <v>13608</v>
      </c>
      <c r="J22" s="90">
        <f t="shared" si="1"/>
        <v>-5129</v>
      </c>
      <c r="K22" s="17"/>
      <c r="O22" s="90"/>
    </row>
    <row r="23" spans="2:15" x14ac:dyDescent="0.2">
      <c r="B23" s="75"/>
      <c r="E23" s="17"/>
      <c r="F23" s="17"/>
      <c r="G23" s="17"/>
      <c r="H23" s="17"/>
      <c r="I23" s="17"/>
      <c r="J23" s="17"/>
      <c r="K23" s="17"/>
      <c r="O23" s="90"/>
    </row>
    <row r="24" spans="2:15" x14ac:dyDescent="0.2">
      <c r="B24" s="75" t="s">
        <v>21</v>
      </c>
      <c r="E24" s="90"/>
      <c r="F24" s="90">
        <f>G26</f>
        <v>353927</v>
      </c>
      <c r="G24" s="90">
        <v>267211</v>
      </c>
      <c r="H24" s="90">
        <v>267211</v>
      </c>
      <c r="I24" s="90">
        <f>J26</f>
        <v>256934</v>
      </c>
      <c r="J24" s="90">
        <v>262063</v>
      </c>
      <c r="K24" s="17"/>
    </row>
    <row r="25" spans="2:15" x14ac:dyDescent="0.2">
      <c r="B25" s="75"/>
      <c r="E25"/>
      <c r="F25"/>
      <c r="G25"/>
      <c r="H25"/>
    </row>
    <row r="26" spans="2:15" s="75" customFormat="1" x14ac:dyDescent="0.2">
      <c r="B26" s="75" t="s">
        <v>22</v>
      </c>
      <c r="E26" s="90"/>
      <c r="F26" s="90">
        <f t="shared" ref="F26:H26" si="2">F22+F24</f>
        <v>554488</v>
      </c>
      <c r="G26" s="90">
        <f t="shared" si="2"/>
        <v>353927</v>
      </c>
      <c r="H26" s="90">
        <f t="shared" si="2"/>
        <v>267866</v>
      </c>
      <c r="I26" s="90">
        <f>I22+I24</f>
        <v>270542</v>
      </c>
      <c r="J26" s="90">
        <f>J22+J24</f>
        <v>256934</v>
      </c>
    </row>
    <row r="31" spans="2:15" x14ac:dyDescent="0.2">
      <c r="D31" t="s">
        <v>87</v>
      </c>
      <c r="G31" s="76" t="s">
        <v>122</v>
      </c>
    </row>
    <row r="32" spans="2:15" x14ac:dyDescent="0.2">
      <c r="D32" t="s">
        <v>88</v>
      </c>
    </row>
    <row r="33" spans="4:4" x14ac:dyDescent="0.2">
      <c r="D33" t="s">
        <v>89</v>
      </c>
    </row>
    <row r="53" spans="1:13" x14ac:dyDescent="0.2">
      <c r="A53" t="s">
        <v>116</v>
      </c>
    </row>
    <row r="54" spans="1:13" x14ac:dyDescent="0.2">
      <c r="B54" s="116" t="s">
        <v>117</v>
      </c>
      <c r="C54" s="115" t="s">
        <v>4</v>
      </c>
      <c r="D54" s="115" t="s">
        <v>119</v>
      </c>
    </row>
    <row r="55" spans="1:13" x14ac:dyDescent="0.2">
      <c r="B55" s="118" t="s">
        <v>118</v>
      </c>
      <c r="C55" s="120">
        <f>D55/D58</f>
        <v>0.77913931948591086</v>
      </c>
      <c r="D55" s="119">
        <f>F17</f>
        <v>377620</v>
      </c>
      <c r="H55"/>
      <c r="L55" s="75"/>
      <c r="M55"/>
    </row>
    <row r="56" spans="1:13" x14ac:dyDescent="0.2">
      <c r="B56" s="118" t="s">
        <v>19</v>
      </c>
      <c r="C56" s="120">
        <f>D56/D58</f>
        <v>0.16786715717931841</v>
      </c>
      <c r="D56" s="119">
        <f>F19</f>
        <v>81359</v>
      </c>
      <c r="H56"/>
      <c r="L56" s="75"/>
      <c r="M56"/>
    </row>
    <row r="57" spans="1:13" x14ac:dyDescent="0.2">
      <c r="B57" s="118" t="s">
        <v>128</v>
      </c>
      <c r="C57" s="120">
        <f>D57/D58</f>
        <v>5.299352333477076E-2</v>
      </c>
      <c r="D57" s="119">
        <f t="shared" ref="D57" si="3">F18</f>
        <v>25684</v>
      </c>
      <c r="H57"/>
      <c r="L57" s="75"/>
      <c r="M57"/>
    </row>
    <row r="58" spans="1:13" x14ac:dyDescent="0.2">
      <c r="B58" t="s">
        <v>120</v>
      </c>
      <c r="C58" s="121">
        <f>SUM(C55:C57)</f>
        <v>1</v>
      </c>
      <c r="D58" s="114">
        <f>SUM(D55:D57)</f>
        <v>484663</v>
      </c>
    </row>
    <row r="59" spans="1:13" x14ac:dyDescent="0.2">
      <c r="C59" s="122"/>
    </row>
    <row r="60" spans="1:13" x14ac:dyDescent="0.2">
      <c r="C60" s="122"/>
    </row>
    <row r="61" spans="1:13" x14ac:dyDescent="0.2">
      <c r="C61" s="122"/>
    </row>
    <row r="62" spans="1:13" x14ac:dyDescent="0.2">
      <c r="B62" t="s">
        <v>124</v>
      </c>
      <c r="C62" s="122" t="s">
        <v>125</v>
      </c>
    </row>
    <row r="63" spans="1:13" x14ac:dyDescent="0.2">
      <c r="B63" t="s">
        <v>123</v>
      </c>
      <c r="C63" s="121">
        <v>1</v>
      </c>
      <c r="D63" s="117"/>
    </row>
  </sheetData>
  <phoneticPr fontId="21" type="noConversion"/>
  <pageMargins left="0.7" right="0.7" top="0.75" bottom="0.75" header="0.3" footer="0.3"/>
  <pageSetup orientation="landscape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82756-6296-FC45-916B-4CAED34FF72D}">
  <sheetPr>
    <pageSetUpPr fitToPage="1"/>
  </sheetPr>
  <dimension ref="A1:L71"/>
  <sheetViews>
    <sheetView topLeftCell="A50" zoomScale="130" zoomScaleNormal="130" workbookViewId="0">
      <selection activeCell="E20" sqref="E20:E21"/>
    </sheetView>
  </sheetViews>
  <sheetFormatPr baseColWidth="10" defaultColWidth="9.1640625" defaultRowHeight="15" x14ac:dyDescent="0.2"/>
  <cols>
    <col min="1" max="3" width="12.6640625" style="18" customWidth="1"/>
    <col min="4" max="4" width="31.6640625" style="18" customWidth="1"/>
    <col min="5" max="7" width="12.6640625" style="18" customWidth="1"/>
    <col min="8" max="9" width="9.1640625" style="18"/>
    <col min="10" max="10" width="10.5" style="18" bestFit="1" customWidth="1"/>
    <col min="11" max="16384" width="9.1640625" style="18"/>
  </cols>
  <sheetData>
    <row r="1" spans="1:12" x14ac:dyDescent="0.2">
      <c r="A1" s="124" t="s">
        <v>23</v>
      </c>
      <c r="B1" s="124"/>
      <c r="C1" s="124"/>
      <c r="D1" s="124"/>
      <c r="E1" s="124"/>
      <c r="F1" s="124"/>
      <c r="G1" s="124"/>
    </row>
    <row r="2" spans="1:12" x14ac:dyDescent="0.2">
      <c r="A2" s="124" t="s">
        <v>24</v>
      </c>
      <c r="B2" s="124"/>
      <c r="C2" s="124"/>
      <c r="D2" s="124"/>
      <c r="E2" s="124"/>
      <c r="F2" s="124"/>
      <c r="G2" s="124"/>
    </row>
    <row r="3" spans="1:12" x14ac:dyDescent="0.2">
      <c r="A3" s="125">
        <v>44196</v>
      </c>
      <c r="B3" s="125"/>
      <c r="C3" s="125"/>
      <c r="D3" s="125"/>
      <c r="E3" s="125"/>
      <c r="F3" s="125"/>
      <c r="G3" s="125"/>
    </row>
    <row r="6" spans="1:12" x14ac:dyDescent="0.2">
      <c r="A6" s="126" t="s">
        <v>25</v>
      </c>
      <c r="B6" s="127"/>
      <c r="C6" s="128"/>
      <c r="D6" s="19">
        <v>44196</v>
      </c>
      <c r="E6" s="129" t="s">
        <v>26</v>
      </c>
      <c r="F6" s="127"/>
      <c r="G6" s="128"/>
    </row>
    <row r="7" spans="1:12" x14ac:dyDescent="0.2">
      <c r="A7" s="20" t="s">
        <v>27</v>
      </c>
      <c r="B7" s="21" t="s">
        <v>28</v>
      </c>
      <c r="C7" s="22" t="s">
        <v>29</v>
      </c>
      <c r="D7" s="23"/>
      <c r="E7" s="24" t="s">
        <v>27</v>
      </c>
      <c r="F7" s="21" t="s">
        <v>28</v>
      </c>
      <c r="G7" s="22" t="s">
        <v>29</v>
      </c>
    </row>
    <row r="8" spans="1:12" x14ac:dyDescent="0.2">
      <c r="A8" s="25"/>
      <c r="C8" s="26"/>
      <c r="D8" s="27" t="s">
        <v>30</v>
      </c>
      <c r="E8" s="28"/>
      <c r="G8" s="26"/>
    </row>
    <row r="9" spans="1:12" x14ac:dyDescent="0.2">
      <c r="A9" s="29">
        <v>80280.070000000007</v>
      </c>
      <c r="B9" s="30">
        <v>23000</v>
      </c>
      <c r="C9" s="31">
        <f>A9-B9</f>
        <v>57280.070000000007</v>
      </c>
      <c r="D9" s="32" t="s">
        <v>31</v>
      </c>
      <c r="E9" s="33">
        <v>445594</v>
      </c>
      <c r="F9" s="30">
        <v>330000</v>
      </c>
      <c r="G9" s="31">
        <f t="shared" ref="G9:G15" si="0">E9-F9</f>
        <v>115594</v>
      </c>
      <c r="H9" s="34"/>
    </row>
    <row r="10" spans="1:12" x14ac:dyDescent="0.2">
      <c r="A10" s="29">
        <v>71932.210000000006</v>
      </c>
      <c r="B10" s="30">
        <v>57000</v>
      </c>
      <c r="C10" s="31">
        <f>A10-B10</f>
        <v>14932.210000000006</v>
      </c>
      <c r="D10" s="32" t="s">
        <v>32</v>
      </c>
      <c r="E10" s="33">
        <v>102876</v>
      </c>
      <c r="F10" s="30">
        <v>113435</v>
      </c>
      <c r="G10" s="31">
        <f t="shared" si="0"/>
        <v>-10559</v>
      </c>
      <c r="H10" s="34"/>
    </row>
    <row r="11" spans="1:12" x14ac:dyDescent="0.2">
      <c r="A11" s="29">
        <v>1255</v>
      </c>
      <c r="B11" s="30">
        <v>490</v>
      </c>
      <c r="C11" s="31">
        <f t="shared" ref="C11:C15" si="1">A11-B11</f>
        <v>765</v>
      </c>
      <c r="D11" s="32" t="s">
        <v>33</v>
      </c>
      <c r="E11" s="33">
        <v>12850</v>
      </c>
      <c r="F11" s="30">
        <v>9680</v>
      </c>
      <c r="G11" s="31">
        <f t="shared" si="0"/>
        <v>3170</v>
      </c>
      <c r="H11" s="34"/>
    </row>
    <row r="12" spans="1:12" x14ac:dyDescent="0.2">
      <c r="A12" s="29">
        <v>0</v>
      </c>
      <c r="B12" s="30">
        <v>0</v>
      </c>
      <c r="C12" s="31">
        <f t="shared" si="1"/>
        <v>0</v>
      </c>
      <c r="D12" s="32" t="s">
        <v>34</v>
      </c>
      <c r="E12" s="33">
        <v>0</v>
      </c>
      <c r="F12" s="30">
        <v>0</v>
      </c>
      <c r="G12" s="31">
        <f t="shared" si="0"/>
        <v>0</v>
      </c>
      <c r="H12" s="34"/>
      <c r="L12" s="34"/>
    </row>
    <row r="13" spans="1:12" x14ac:dyDescent="0.2">
      <c r="A13" s="29">
        <v>3338.33</v>
      </c>
      <c r="B13" s="30">
        <v>4896</v>
      </c>
      <c r="C13" s="31">
        <f t="shared" si="1"/>
        <v>-1557.67</v>
      </c>
      <c r="D13" s="32" t="s">
        <v>35</v>
      </c>
      <c r="E13" s="33">
        <v>27799</v>
      </c>
      <c r="F13" s="30">
        <v>58752</v>
      </c>
      <c r="G13" s="31">
        <f t="shared" si="0"/>
        <v>-30953</v>
      </c>
      <c r="H13" s="34"/>
    </row>
    <row r="14" spans="1:12" x14ac:dyDescent="0.2">
      <c r="A14" s="29">
        <v>7060.88</v>
      </c>
      <c r="B14" s="30">
        <v>5000</v>
      </c>
      <c r="C14" s="31">
        <f t="shared" si="1"/>
        <v>2060.88</v>
      </c>
      <c r="D14" s="32" t="s">
        <v>36</v>
      </c>
      <c r="E14" s="33">
        <v>103760</v>
      </c>
      <c r="F14" s="30">
        <v>92900</v>
      </c>
      <c r="G14" s="31">
        <f t="shared" si="0"/>
        <v>10860</v>
      </c>
      <c r="H14" s="34"/>
    </row>
    <row r="15" spans="1:12" x14ac:dyDescent="0.2">
      <c r="A15" s="29">
        <v>3278.08</v>
      </c>
      <c r="B15" s="30">
        <v>0</v>
      </c>
      <c r="C15" s="31">
        <f t="shared" si="1"/>
        <v>3278.08</v>
      </c>
      <c r="D15" s="35" t="s">
        <v>37</v>
      </c>
      <c r="E15" s="33">
        <v>21544</v>
      </c>
      <c r="F15" s="30">
        <v>0</v>
      </c>
      <c r="G15" s="31">
        <f t="shared" si="0"/>
        <v>21544</v>
      </c>
      <c r="H15" s="34"/>
    </row>
    <row r="16" spans="1:12" x14ac:dyDescent="0.2">
      <c r="A16" s="29"/>
      <c r="B16" s="30"/>
      <c r="C16" s="31"/>
      <c r="D16" s="35"/>
      <c r="E16" s="33"/>
      <c r="F16" s="30"/>
      <c r="G16" s="31"/>
      <c r="H16" s="34"/>
    </row>
    <row r="17" spans="1:10" x14ac:dyDescent="0.2">
      <c r="A17" s="36">
        <f>SUM(A9:A16)</f>
        <v>167144.57</v>
      </c>
      <c r="B17" s="37">
        <f>SUM(B9:B16)</f>
        <v>90386</v>
      </c>
      <c r="C17" s="38">
        <f>SUM(C9:C16)</f>
        <v>76758.570000000022</v>
      </c>
      <c r="D17" s="39" t="s">
        <v>38</v>
      </c>
      <c r="E17" s="40">
        <f>SUM(E9:E16)</f>
        <v>714423</v>
      </c>
      <c r="F17" s="37">
        <f>SUM(F9:F16)</f>
        <v>604767</v>
      </c>
      <c r="G17" s="38">
        <f>SUM(G9:G16)</f>
        <v>109656</v>
      </c>
      <c r="H17" s="34"/>
    </row>
    <row r="18" spans="1:10" x14ac:dyDescent="0.2">
      <c r="A18" s="41"/>
      <c r="B18" s="42"/>
      <c r="C18" s="43"/>
      <c r="D18" s="44"/>
      <c r="E18" s="45"/>
      <c r="F18" s="42"/>
      <c r="G18" s="43"/>
      <c r="H18" s="34"/>
      <c r="J18" s="18" t="s">
        <v>94</v>
      </c>
    </row>
    <row r="19" spans="1:10" x14ac:dyDescent="0.2">
      <c r="A19" s="29"/>
      <c r="B19" s="30"/>
      <c r="C19" s="46"/>
      <c r="D19" s="27" t="s">
        <v>39</v>
      </c>
      <c r="E19" s="47"/>
      <c r="F19" s="48"/>
      <c r="G19" s="46"/>
      <c r="H19" s="34"/>
      <c r="J19" s="34">
        <f>E26-E14-E13</f>
        <v>171351</v>
      </c>
    </row>
    <row r="20" spans="1:10" x14ac:dyDescent="0.2">
      <c r="A20" s="29">
        <v>38772.07</v>
      </c>
      <c r="B20" s="30">
        <v>13800</v>
      </c>
      <c r="C20" s="31">
        <f>SUM(A20-B20)</f>
        <v>24972.07</v>
      </c>
      <c r="D20" s="32" t="s">
        <v>40</v>
      </c>
      <c r="E20" s="33">
        <v>236270</v>
      </c>
      <c r="F20" s="30">
        <v>198000</v>
      </c>
      <c r="G20" s="31">
        <f>SUM(E20-F20)</f>
        <v>38270</v>
      </c>
      <c r="H20" s="34"/>
      <c r="J20" s="30"/>
    </row>
    <row r="21" spans="1:10" x14ac:dyDescent="0.2">
      <c r="A21" s="29">
        <v>51454.400000000001</v>
      </c>
      <c r="B21" s="30">
        <v>37500</v>
      </c>
      <c r="C21" s="31">
        <f>SUM(A21-B21)</f>
        <v>13954.400000000001</v>
      </c>
      <c r="D21" s="32" t="s">
        <v>41</v>
      </c>
      <c r="E21" s="33">
        <v>66640</v>
      </c>
      <c r="F21" s="30">
        <v>65325</v>
      </c>
      <c r="G21" s="31">
        <f>SUM(E21-F21)</f>
        <v>1315</v>
      </c>
      <c r="H21" s="34"/>
    </row>
    <row r="22" spans="1:10" x14ac:dyDescent="0.2">
      <c r="B22" s="18">
        <v>0</v>
      </c>
      <c r="C22" s="31">
        <f>SUM(A22-B22)</f>
        <v>0</v>
      </c>
      <c r="D22" s="35" t="s">
        <v>42</v>
      </c>
      <c r="E22" s="33">
        <v>0</v>
      </c>
      <c r="F22" s="30">
        <v>0</v>
      </c>
      <c r="G22" s="31">
        <f>SUM(E22-F22)</f>
        <v>0</v>
      </c>
      <c r="H22" s="34"/>
    </row>
    <row r="23" spans="1:10" x14ac:dyDescent="0.2">
      <c r="A23" s="29"/>
      <c r="B23" s="30"/>
      <c r="C23" s="31"/>
      <c r="D23" s="32"/>
      <c r="E23" s="33"/>
      <c r="F23" s="30"/>
      <c r="G23" s="31"/>
      <c r="H23" s="34"/>
    </row>
    <row r="24" spans="1:10" x14ac:dyDescent="0.2">
      <c r="A24" s="29"/>
      <c r="B24" s="30"/>
      <c r="C24" s="31"/>
      <c r="D24" s="23"/>
      <c r="E24" s="33"/>
      <c r="F24" s="30"/>
      <c r="G24" s="31"/>
      <c r="H24" s="34"/>
    </row>
    <row r="25" spans="1:10" x14ac:dyDescent="0.2">
      <c r="A25" s="29"/>
      <c r="B25" s="30"/>
      <c r="C25" s="49"/>
      <c r="D25" s="23"/>
      <c r="E25" s="33"/>
      <c r="F25" s="30"/>
      <c r="G25" s="31"/>
      <c r="H25" s="34"/>
    </row>
    <row r="26" spans="1:10" x14ac:dyDescent="0.2">
      <c r="A26" s="36">
        <f>SUM(A19:A25)</f>
        <v>90226.47</v>
      </c>
      <c r="B26" s="37">
        <f>SUM(B19:B25)</f>
        <v>51300</v>
      </c>
      <c r="C26" s="38">
        <f>SUM(C20:C25)</f>
        <v>38926.47</v>
      </c>
      <c r="D26" s="39" t="s">
        <v>43</v>
      </c>
      <c r="E26" s="40">
        <f>SUM(E20:E25)</f>
        <v>302910</v>
      </c>
      <c r="F26" s="37">
        <f>SUM(F20:F25)</f>
        <v>263325</v>
      </c>
      <c r="G26" s="38">
        <f>SUM(G20:G25)</f>
        <v>39585</v>
      </c>
      <c r="H26" s="34"/>
    </row>
    <row r="27" spans="1:10" x14ac:dyDescent="0.2">
      <c r="A27" s="50"/>
      <c r="B27" s="51"/>
      <c r="C27" s="52"/>
      <c r="D27" s="44"/>
      <c r="E27" s="53"/>
      <c r="F27" s="51"/>
      <c r="G27" s="52"/>
      <c r="H27" s="34"/>
    </row>
    <row r="28" spans="1:10" x14ac:dyDescent="0.2">
      <c r="A28" s="36">
        <f>A17-A26</f>
        <v>76918.100000000006</v>
      </c>
      <c r="B28" s="37">
        <f>B17-B26</f>
        <v>39086</v>
      </c>
      <c r="C28" s="38">
        <f>C17-C26</f>
        <v>37832.10000000002</v>
      </c>
      <c r="D28" s="39" t="s">
        <v>44</v>
      </c>
      <c r="E28" s="40">
        <f>E17-E26</f>
        <v>411513</v>
      </c>
      <c r="F28" s="37">
        <f>F17-F26</f>
        <v>341442</v>
      </c>
      <c r="G28" s="38">
        <f>G17-G26</f>
        <v>70071</v>
      </c>
      <c r="H28" s="34"/>
    </row>
    <row r="29" spans="1:10" x14ac:dyDescent="0.2">
      <c r="A29" s="50"/>
      <c r="B29" s="51"/>
      <c r="C29" s="52"/>
      <c r="D29" s="35"/>
      <c r="E29" s="53"/>
      <c r="F29" s="51"/>
      <c r="G29" s="52"/>
      <c r="H29" s="34"/>
    </row>
    <row r="30" spans="1:10" x14ac:dyDescent="0.2">
      <c r="A30" s="54"/>
      <c r="B30" s="48"/>
      <c r="C30" s="46"/>
      <c r="D30" s="27" t="s">
        <v>45</v>
      </c>
      <c r="E30" s="47"/>
      <c r="F30" s="48"/>
      <c r="G30" s="46"/>
      <c r="H30" s="34"/>
    </row>
    <row r="31" spans="1:10" x14ac:dyDescent="0.2">
      <c r="A31" s="29"/>
      <c r="B31" s="30"/>
      <c r="C31" s="31"/>
      <c r="D31" s="55" t="s">
        <v>46</v>
      </c>
      <c r="E31" s="33"/>
      <c r="F31" s="30"/>
      <c r="G31" s="31"/>
      <c r="H31" s="34"/>
    </row>
    <row r="32" spans="1:10" x14ac:dyDescent="0.2">
      <c r="A32" s="29">
        <v>3386.61</v>
      </c>
      <c r="B32" s="30">
        <v>4249</v>
      </c>
      <c r="C32" s="31">
        <f>SUM(A32-B32)</f>
        <v>-862.38999999999987</v>
      </c>
      <c r="D32" s="35" t="s">
        <v>47</v>
      </c>
      <c r="E32" s="33">
        <v>42239</v>
      </c>
      <c r="F32" s="30">
        <v>44324</v>
      </c>
      <c r="G32" s="31">
        <f>SUM(E32-F32)</f>
        <v>-2085</v>
      </c>
      <c r="H32" s="34"/>
    </row>
    <row r="33" spans="1:8" x14ac:dyDescent="0.2">
      <c r="A33" s="29">
        <v>0</v>
      </c>
      <c r="B33" s="30">
        <v>0</v>
      </c>
      <c r="C33" s="31">
        <f t="shared" ref="C33:C43" si="2">SUM(A33-B33)</f>
        <v>0</v>
      </c>
      <c r="D33" s="56" t="s">
        <v>48</v>
      </c>
      <c r="E33" s="33">
        <v>0</v>
      </c>
      <c r="F33" s="30">
        <v>0</v>
      </c>
      <c r="G33" s="31">
        <f t="shared" ref="G33:G43" si="3">SUM(E33-F33)</f>
        <v>0</v>
      </c>
      <c r="H33" s="34"/>
    </row>
    <row r="34" spans="1:8" x14ac:dyDescent="0.2">
      <c r="A34" s="29">
        <v>0</v>
      </c>
      <c r="B34" s="30">
        <v>500</v>
      </c>
      <c r="C34" s="31">
        <f t="shared" si="2"/>
        <v>-500</v>
      </c>
      <c r="D34" s="35" t="s">
        <v>49</v>
      </c>
      <c r="E34" s="33">
        <v>4539</v>
      </c>
      <c r="F34" s="30">
        <v>11965</v>
      </c>
      <c r="G34" s="31">
        <f t="shared" si="3"/>
        <v>-7426</v>
      </c>
      <c r="H34" s="34"/>
    </row>
    <row r="35" spans="1:8" x14ac:dyDescent="0.2">
      <c r="A35" s="29">
        <v>159.29</v>
      </c>
      <c r="B35" s="30">
        <v>225</v>
      </c>
      <c r="C35" s="31">
        <f t="shared" si="2"/>
        <v>-65.710000000000008</v>
      </c>
      <c r="D35" s="35" t="s">
        <v>50</v>
      </c>
      <c r="E35" s="33">
        <v>2026</v>
      </c>
      <c r="F35" s="30">
        <v>2700</v>
      </c>
      <c r="G35" s="31">
        <f t="shared" si="3"/>
        <v>-674</v>
      </c>
      <c r="H35" s="34"/>
    </row>
    <row r="36" spans="1:8" x14ac:dyDescent="0.2">
      <c r="A36" s="29">
        <v>1480.06</v>
      </c>
      <c r="B36" s="30">
        <v>725</v>
      </c>
      <c r="C36" s="31">
        <f>SUM(A36-B36)</f>
        <v>755.06</v>
      </c>
      <c r="D36" s="35" t="s">
        <v>51</v>
      </c>
      <c r="E36" s="33">
        <v>17534</v>
      </c>
      <c r="F36" s="30">
        <v>18275</v>
      </c>
      <c r="G36" s="31">
        <f t="shared" si="3"/>
        <v>-741</v>
      </c>
      <c r="H36" s="34"/>
    </row>
    <row r="37" spans="1:8" x14ac:dyDescent="0.2">
      <c r="A37" s="29">
        <v>121.5</v>
      </c>
      <c r="B37" s="30">
        <v>45</v>
      </c>
      <c r="C37" s="31">
        <f t="shared" si="2"/>
        <v>76.5</v>
      </c>
      <c r="D37" s="35" t="s">
        <v>52</v>
      </c>
      <c r="E37" s="33">
        <v>925</v>
      </c>
      <c r="F37" s="30">
        <v>540</v>
      </c>
      <c r="G37" s="31">
        <f t="shared" si="3"/>
        <v>385</v>
      </c>
      <c r="H37" s="34"/>
    </row>
    <row r="38" spans="1:8" x14ac:dyDescent="0.2">
      <c r="A38" s="29">
        <v>0</v>
      </c>
      <c r="B38" s="30">
        <v>0</v>
      </c>
      <c r="C38" s="31">
        <f t="shared" si="2"/>
        <v>0</v>
      </c>
      <c r="D38" s="35" t="s">
        <v>53</v>
      </c>
      <c r="E38" s="33">
        <v>0</v>
      </c>
      <c r="F38" s="30">
        <v>0</v>
      </c>
      <c r="G38" s="31">
        <f t="shared" si="3"/>
        <v>0</v>
      </c>
      <c r="H38" s="34"/>
    </row>
    <row r="39" spans="1:8" x14ac:dyDescent="0.2">
      <c r="A39" s="29">
        <v>0</v>
      </c>
      <c r="B39" s="30">
        <v>0</v>
      </c>
      <c r="C39" s="31">
        <f t="shared" si="2"/>
        <v>0</v>
      </c>
      <c r="D39" s="35" t="s">
        <v>54</v>
      </c>
      <c r="E39" s="33">
        <v>0</v>
      </c>
      <c r="F39" s="30">
        <v>0</v>
      </c>
      <c r="G39" s="31">
        <f t="shared" si="3"/>
        <v>0</v>
      </c>
      <c r="H39" s="34"/>
    </row>
    <row r="40" spans="1:8" x14ac:dyDescent="0.2">
      <c r="A40" s="29">
        <v>0</v>
      </c>
      <c r="B40" s="30">
        <v>0</v>
      </c>
      <c r="C40" s="31">
        <f t="shared" si="2"/>
        <v>0</v>
      </c>
      <c r="D40" s="35" t="s">
        <v>55</v>
      </c>
      <c r="E40" s="33">
        <v>0</v>
      </c>
      <c r="F40" s="30">
        <v>0</v>
      </c>
      <c r="G40" s="31">
        <f t="shared" si="3"/>
        <v>0</v>
      </c>
      <c r="H40" s="34"/>
    </row>
    <row r="41" spans="1:8" x14ac:dyDescent="0.2">
      <c r="A41" s="29">
        <v>0</v>
      </c>
      <c r="B41" s="30">
        <v>50</v>
      </c>
      <c r="C41" s="31">
        <f t="shared" si="2"/>
        <v>-50</v>
      </c>
      <c r="D41" s="35" t="s">
        <v>56</v>
      </c>
      <c r="E41" s="33">
        <v>54</v>
      </c>
      <c r="F41" s="30">
        <v>600</v>
      </c>
      <c r="G41" s="31">
        <f t="shared" si="3"/>
        <v>-546</v>
      </c>
      <c r="H41" s="34"/>
    </row>
    <row r="42" spans="1:8" x14ac:dyDescent="0.2">
      <c r="A42" s="29">
        <v>346</v>
      </c>
      <c r="B42" s="30">
        <v>456</v>
      </c>
      <c r="C42" s="31">
        <f t="shared" si="2"/>
        <v>-110</v>
      </c>
      <c r="D42" s="35" t="s">
        <v>57</v>
      </c>
      <c r="E42" s="33">
        <v>4512</v>
      </c>
      <c r="F42" s="30">
        <v>5472</v>
      </c>
      <c r="G42" s="31">
        <f t="shared" si="3"/>
        <v>-960</v>
      </c>
      <c r="H42" s="34"/>
    </row>
    <row r="43" spans="1:8" x14ac:dyDescent="0.2">
      <c r="A43" s="57">
        <v>0</v>
      </c>
      <c r="B43" s="58">
        <v>0</v>
      </c>
      <c r="C43" s="59">
        <f t="shared" si="2"/>
        <v>0</v>
      </c>
      <c r="D43" s="35" t="s">
        <v>37</v>
      </c>
      <c r="E43" s="60">
        <v>1425</v>
      </c>
      <c r="F43" s="58">
        <v>1185</v>
      </c>
      <c r="G43" s="59">
        <f t="shared" si="3"/>
        <v>240</v>
      </c>
      <c r="H43" s="34"/>
    </row>
    <row r="44" spans="1:8" x14ac:dyDescent="0.2">
      <c r="A44" s="29">
        <f>SUM(A32:A43)</f>
        <v>5493.46</v>
      </c>
      <c r="B44" s="30">
        <f>SUM(B32:B43)</f>
        <v>6250</v>
      </c>
      <c r="C44" s="31">
        <f>SUM(C32:C43)</f>
        <v>-756.54</v>
      </c>
      <c r="D44" s="61" t="s">
        <v>58</v>
      </c>
      <c r="E44" s="33">
        <f>SUM(E32:E43)</f>
        <v>73254</v>
      </c>
      <c r="F44" s="30">
        <f>SUM(F32:F43)</f>
        <v>85061</v>
      </c>
      <c r="G44" s="31">
        <f>SUM(G32:G43)</f>
        <v>-11807</v>
      </c>
      <c r="H44" s="34"/>
    </row>
    <row r="45" spans="1:8" x14ac:dyDescent="0.2">
      <c r="A45" s="29"/>
      <c r="B45" s="30"/>
      <c r="C45" s="31"/>
      <c r="D45" s="61"/>
      <c r="E45" s="33"/>
      <c r="F45" s="30"/>
      <c r="G45" s="31"/>
      <c r="H45" s="34"/>
    </row>
    <row r="46" spans="1:8" x14ac:dyDescent="0.2">
      <c r="A46" s="29"/>
      <c r="B46" s="30"/>
      <c r="C46" s="31"/>
      <c r="D46" s="55" t="s">
        <v>59</v>
      </c>
      <c r="E46" s="33"/>
      <c r="F46" s="30"/>
      <c r="G46" s="31"/>
      <c r="H46" s="34"/>
    </row>
    <row r="47" spans="1:8" x14ac:dyDescent="0.2">
      <c r="A47" s="29">
        <v>4856</v>
      </c>
      <c r="B47" s="30">
        <v>3804</v>
      </c>
      <c r="C47" s="31">
        <f t="shared" ref="C47:C52" si="4">SUM(A47-B47)</f>
        <v>1052</v>
      </c>
      <c r="D47" s="35" t="s">
        <v>47</v>
      </c>
      <c r="E47" s="33">
        <v>57176</v>
      </c>
      <c r="F47" s="30">
        <v>44432</v>
      </c>
      <c r="G47" s="31">
        <f t="shared" ref="G47:G52" si="5">SUM(E47-F47)</f>
        <v>12744</v>
      </c>
      <c r="H47" s="34"/>
    </row>
    <row r="48" spans="1:8" x14ac:dyDescent="0.2">
      <c r="A48" s="29">
        <v>313</v>
      </c>
      <c r="B48" s="30">
        <v>275</v>
      </c>
      <c r="C48" s="31">
        <f t="shared" si="4"/>
        <v>38</v>
      </c>
      <c r="D48" s="35" t="s">
        <v>49</v>
      </c>
      <c r="E48" s="33">
        <v>3189</v>
      </c>
      <c r="F48" s="30">
        <v>5010</v>
      </c>
      <c r="G48" s="31">
        <f t="shared" si="5"/>
        <v>-1821</v>
      </c>
      <c r="H48" s="34"/>
    </row>
    <row r="49" spans="1:8" x14ac:dyDescent="0.2">
      <c r="A49" s="29">
        <v>1127.6600000000001</v>
      </c>
      <c r="B49" s="30">
        <v>375</v>
      </c>
      <c r="C49" s="31">
        <f t="shared" si="4"/>
        <v>752.66000000000008</v>
      </c>
      <c r="D49" s="35" t="s">
        <v>37</v>
      </c>
      <c r="E49" s="33">
        <v>13646</v>
      </c>
      <c r="F49" s="30">
        <v>6530</v>
      </c>
      <c r="G49" s="31">
        <f t="shared" si="5"/>
        <v>7116</v>
      </c>
      <c r="H49" s="34"/>
    </row>
    <row r="50" spans="1:8" x14ac:dyDescent="0.2">
      <c r="A50" s="29">
        <v>5138.33</v>
      </c>
      <c r="B50" s="30">
        <v>6066</v>
      </c>
      <c r="C50" s="31">
        <f t="shared" si="4"/>
        <v>-927.67000000000007</v>
      </c>
      <c r="D50" s="35" t="s">
        <v>60</v>
      </c>
      <c r="E50" s="33">
        <v>46597</v>
      </c>
      <c r="F50" s="30">
        <v>72792</v>
      </c>
      <c r="G50" s="31">
        <f t="shared" si="5"/>
        <v>-26195</v>
      </c>
      <c r="H50" s="34"/>
    </row>
    <row r="51" spans="1:8" x14ac:dyDescent="0.2">
      <c r="A51" s="29">
        <v>7060.88</v>
      </c>
      <c r="B51" s="30">
        <v>5000</v>
      </c>
      <c r="C51" s="31">
        <f t="shared" si="4"/>
        <v>2060.88</v>
      </c>
      <c r="D51" s="35" t="s">
        <v>61</v>
      </c>
      <c r="E51" s="33">
        <v>104267</v>
      </c>
      <c r="F51" s="30">
        <v>92900</v>
      </c>
      <c r="G51" s="31">
        <f t="shared" si="5"/>
        <v>11367</v>
      </c>
      <c r="H51" s="34"/>
    </row>
    <row r="52" spans="1:8" x14ac:dyDescent="0.2">
      <c r="A52" s="57">
        <v>50.74</v>
      </c>
      <c r="B52" s="58">
        <v>350</v>
      </c>
      <c r="C52" s="31">
        <f t="shared" si="4"/>
        <v>-299.26</v>
      </c>
      <c r="D52" s="35" t="s">
        <v>62</v>
      </c>
      <c r="E52" s="60">
        <v>5041</v>
      </c>
      <c r="F52" s="58">
        <v>14300</v>
      </c>
      <c r="G52" s="31">
        <f t="shared" si="5"/>
        <v>-9259</v>
      </c>
      <c r="H52" s="34"/>
    </row>
    <row r="53" spans="1:8" x14ac:dyDescent="0.2">
      <c r="A53" s="29">
        <f>SUM(A47:A52)</f>
        <v>18546.61</v>
      </c>
      <c r="B53" s="30">
        <f>SUM(B47:B52)</f>
        <v>15870</v>
      </c>
      <c r="C53" s="31">
        <f>SUM(C47:C52)</f>
        <v>2676.6099999999997</v>
      </c>
      <c r="D53" s="61" t="s">
        <v>63</v>
      </c>
      <c r="E53" s="33">
        <f>SUM(E47:E52)</f>
        <v>229916</v>
      </c>
      <c r="F53" s="30">
        <f>SUM(F47:F52)</f>
        <v>235964</v>
      </c>
      <c r="G53" s="31">
        <f>SUM(G47:G52)</f>
        <v>-6048</v>
      </c>
      <c r="H53" s="34"/>
    </row>
    <row r="54" spans="1:8" x14ac:dyDescent="0.2">
      <c r="A54" s="29"/>
      <c r="B54" s="30"/>
      <c r="C54" s="31"/>
      <c r="D54" s="35"/>
      <c r="E54" s="33"/>
      <c r="F54" s="30"/>
      <c r="G54" s="31"/>
      <c r="H54" s="34"/>
    </row>
    <row r="55" spans="1:8" x14ac:dyDescent="0.2">
      <c r="A55" s="29"/>
      <c r="B55" s="30"/>
      <c r="C55" s="31"/>
      <c r="D55" s="55" t="s">
        <v>64</v>
      </c>
      <c r="E55" s="33"/>
      <c r="F55" s="30"/>
      <c r="G55" s="31"/>
      <c r="H55" s="34"/>
    </row>
    <row r="56" spans="1:8" x14ac:dyDescent="0.2">
      <c r="A56" s="29">
        <v>898.87</v>
      </c>
      <c r="B56" s="30">
        <v>1733</v>
      </c>
      <c r="C56" s="31">
        <f>SUM(A56-B56)</f>
        <v>-834.13</v>
      </c>
      <c r="D56" s="35" t="s">
        <v>47</v>
      </c>
      <c r="E56" s="33">
        <v>12778</v>
      </c>
      <c r="F56" s="30">
        <v>15064</v>
      </c>
      <c r="G56" s="31">
        <f>SUM(E56-F56)</f>
        <v>-2286</v>
      </c>
      <c r="H56" s="34"/>
    </row>
    <row r="57" spans="1:8" x14ac:dyDescent="0.2">
      <c r="A57" s="29">
        <v>0</v>
      </c>
      <c r="B57" s="30">
        <v>0</v>
      </c>
      <c r="C57" s="31">
        <f t="shared" ref="C57:C65" si="6">SUM(A57-B57)</f>
        <v>0</v>
      </c>
      <c r="D57" s="35" t="s">
        <v>48</v>
      </c>
      <c r="E57" s="33">
        <v>0</v>
      </c>
      <c r="F57" s="30">
        <v>0</v>
      </c>
      <c r="G57" s="31">
        <f t="shared" ref="G57:G64" si="7">SUM(E57-F57)</f>
        <v>0</v>
      </c>
      <c r="H57" s="34"/>
    </row>
    <row r="58" spans="1:8" x14ac:dyDescent="0.2">
      <c r="A58" s="29">
        <v>0</v>
      </c>
      <c r="B58" s="30">
        <v>10</v>
      </c>
      <c r="C58" s="31">
        <f t="shared" si="6"/>
        <v>-10</v>
      </c>
      <c r="D58" s="35" t="s">
        <v>49</v>
      </c>
      <c r="E58" s="33">
        <v>197</v>
      </c>
      <c r="F58" s="30">
        <v>120</v>
      </c>
      <c r="G58" s="31">
        <f t="shared" si="7"/>
        <v>77</v>
      </c>
      <c r="H58" s="34"/>
    </row>
    <row r="59" spans="1:8" x14ac:dyDescent="0.2">
      <c r="A59" s="29">
        <v>53.6</v>
      </c>
      <c r="B59" s="30">
        <v>85</v>
      </c>
      <c r="C59" s="31">
        <f t="shared" si="6"/>
        <v>-31.4</v>
      </c>
      <c r="D59" s="35" t="s">
        <v>50</v>
      </c>
      <c r="E59" s="33">
        <v>777</v>
      </c>
      <c r="F59" s="30">
        <v>1020</v>
      </c>
      <c r="G59" s="31">
        <f t="shared" si="7"/>
        <v>-243</v>
      </c>
      <c r="H59" s="34"/>
    </row>
    <row r="60" spans="1:8" x14ac:dyDescent="0.2">
      <c r="A60" s="29">
        <v>0</v>
      </c>
      <c r="B60" s="30">
        <v>0</v>
      </c>
      <c r="C60" s="31">
        <f t="shared" si="6"/>
        <v>0</v>
      </c>
      <c r="D60" s="35" t="s">
        <v>57</v>
      </c>
      <c r="E60" s="33">
        <v>81</v>
      </c>
      <c r="F60" s="30">
        <v>173</v>
      </c>
      <c r="G60" s="31">
        <f t="shared" si="7"/>
        <v>-92</v>
      </c>
      <c r="H60" s="34"/>
    </row>
    <row r="61" spans="1:8" x14ac:dyDescent="0.2">
      <c r="A61" s="29">
        <v>381</v>
      </c>
      <c r="B61" s="30">
        <v>381</v>
      </c>
      <c r="C61" s="31">
        <f t="shared" si="6"/>
        <v>0</v>
      </c>
      <c r="D61" s="35" t="s">
        <v>65</v>
      </c>
      <c r="E61" s="33">
        <v>4572</v>
      </c>
      <c r="F61" s="30">
        <v>4572</v>
      </c>
      <c r="G61" s="31">
        <f t="shared" si="7"/>
        <v>0</v>
      </c>
      <c r="H61" s="34"/>
    </row>
    <row r="62" spans="1:8" x14ac:dyDescent="0.2">
      <c r="A62" s="29">
        <v>33.32</v>
      </c>
      <c r="B62" s="30">
        <v>35</v>
      </c>
      <c r="C62" s="31">
        <f t="shared" si="6"/>
        <v>-1.6799999999999997</v>
      </c>
      <c r="D62" s="35" t="s">
        <v>66</v>
      </c>
      <c r="E62" s="33">
        <v>520</v>
      </c>
      <c r="F62" s="30">
        <v>420</v>
      </c>
      <c r="G62" s="31">
        <f t="shared" si="7"/>
        <v>100</v>
      </c>
      <c r="H62" s="34"/>
    </row>
    <row r="63" spans="1:8" x14ac:dyDescent="0.2">
      <c r="A63" s="29">
        <v>0</v>
      </c>
      <c r="B63" s="30">
        <v>0</v>
      </c>
      <c r="C63" s="31">
        <f t="shared" si="6"/>
        <v>0</v>
      </c>
      <c r="D63" s="35" t="s">
        <v>67</v>
      </c>
      <c r="E63" s="33">
        <v>2888</v>
      </c>
      <c r="F63" s="30">
        <v>4450</v>
      </c>
      <c r="G63" s="31">
        <f t="shared" si="7"/>
        <v>-1562</v>
      </c>
      <c r="H63" s="34"/>
    </row>
    <row r="64" spans="1:8" x14ac:dyDescent="0.2">
      <c r="A64" s="29">
        <v>0</v>
      </c>
      <c r="B64" s="30">
        <v>20</v>
      </c>
      <c r="C64" s="31">
        <f t="shared" si="6"/>
        <v>-20</v>
      </c>
      <c r="D64" s="35" t="s">
        <v>68</v>
      </c>
      <c r="E64" s="33">
        <v>312</v>
      </c>
      <c r="F64" s="30">
        <v>240</v>
      </c>
      <c r="G64" s="31">
        <f t="shared" si="7"/>
        <v>72</v>
      </c>
      <c r="H64" s="34"/>
    </row>
    <row r="65" spans="1:8" x14ac:dyDescent="0.2">
      <c r="A65" s="57">
        <v>-2255.52</v>
      </c>
      <c r="B65" s="58">
        <v>-50</v>
      </c>
      <c r="C65" s="59">
        <f t="shared" si="6"/>
        <v>-2205.52</v>
      </c>
      <c r="D65" s="35" t="s">
        <v>37</v>
      </c>
      <c r="E65" s="60">
        <v>-2754</v>
      </c>
      <c r="F65" s="58">
        <v>-600</v>
      </c>
      <c r="G65" s="31">
        <f>SUM(E65-F65)</f>
        <v>-2154</v>
      </c>
      <c r="H65" s="34"/>
    </row>
    <row r="66" spans="1:8" x14ac:dyDescent="0.2">
      <c r="A66" s="29">
        <f>SUM(A56:A65)</f>
        <v>-888.73</v>
      </c>
      <c r="B66" s="30">
        <f>SUM(B56:B65)</f>
        <v>2214</v>
      </c>
      <c r="C66" s="31">
        <f>SUM(C56:C65)</f>
        <v>-3102.73</v>
      </c>
      <c r="D66" s="61" t="s">
        <v>63</v>
      </c>
      <c r="E66" s="33">
        <f>SUM(E56:E65)</f>
        <v>19371</v>
      </c>
      <c r="F66" s="30">
        <f>SUM(F56:F65)</f>
        <v>25459</v>
      </c>
      <c r="G66" s="31">
        <f>SUM(E66-F66)</f>
        <v>-6088</v>
      </c>
      <c r="H66" s="34"/>
    </row>
    <row r="67" spans="1:8" x14ac:dyDescent="0.2">
      <c r="A67" s="36">
        <f>A66+A53+A44</f>
        <v>23151.34</v>
      </c>
      <c r="B67" s="37">
        <f>SUM(B44+B53+B66)</f>
        <v>24334</v>
      </c>
      <c r="C67" s="38">
        <f>A67-B67</f>
        <v>-1182.6599999999999</v>
      </c>
      <c r="D67" s="39" t="s">
        <v>69</v>
      </c>
      <c r="E67" s="40">
        <f>E66+E53+E44</f>
        <v>322541</v>
      </c>
      <c r="F67" s="37">
        <f>SUM(F44+F53+F66)</f>
        <v>346484</v>
      </c>
      <c r="G67" s="38">
        <f>E67-F67</f>
        <v>-23943</v>
      </c>
      <c r="H67" s="34"/>
    </row>
    <row r="68" spans="1:8" x14ac:dyDescent="0.2">
      <c r="A68" s="50"/>
      <c r="B68" s="51"/>
      <c r="C68" s="52"/>
      <c r="D68" s="35"/>
      <c r="E68" s="53"/>
      <c r="F68" s="51"/>
      <c r="G68" s="52"/>
      <c r="H68" s="34"/>
    </row>
    <row r="69" spans="1:8" x14ac:dyDescent="0.2">
      <c r="A69" s="54"/>
      <c r="B69" s="48"/>
      <c r="C69" s="46"/>
      <c r="D69" s="35"/>
      <c r="E69" s="47"/>
      <c r="F69" s="48"/>
      <c r="G69" s="46"/>
      <c r="H69" s="34"/>
    </row>
    <row r="70" spans="1:8" ht="16" thickBot="1" x14ac:dyDescent="0.25">
      <c r="A70" s="62">
        <f>A28-A67</f>
        <v>53766.760000000009</v>
      </c>
      <c r="B70" s="63">
        <f>B28-B67</f>
        <v>14752</v>
      </c>
      <c r="C70" s="64">
        <f>C28-C67</f>
        <v>39014.760000000024</v>
      </c>
      <c r="D70" s="65" t="s">
        <v>70</v>
      </c>
      <c r="E70" s="62">
        <v>87691.07</v>
      </c>
      <c r="F70" s="63">
        <f>SUM(F28-F67)</f>
        <v>-5042</v>
      </c>
      <c r="G70" s="64">
        <f>SUM(E70-F70)</f>
        <v>92733.07</v>
      </c>
      <c r="H70" s="34"/>
    </row>
    <row r="71" spans="1:8" ht="16" thickTop="1" x14ac:dyDescent="0.2"/>
  </sheetData>
  <mergeCells count="5">
    <mergeCell ref="A1:G1"/>
    <mergeCell ref="A2:G2"/>
    <mergeCell ref="A3:G3"/>
    <mergeCell ref="A6:C6"/>
    <mergeCell ref="E6:G6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8EF3F-389A-7343-AD76-BC97314B274D}">
  <sheetPr>
    <pageSetUpPr fitToPage="1"/>
  </sheetPr>
  <dimension ref="A1:L71"/>
  <sheetViews>
    <sheetView topLeftCell="A33" zoomScaleNormal="100" workbookViewId="0">
      <selection activeCell="E13" sqref="E13:E14"/>
    </sheetView>
  </sheetViews>
  <sheetFormatPr baseColWidth="10" defaultColWidth="9.1640625" defaultRowHeight="15" x14ac:dyDescent="0.2"/>
  <cols>
    <col min="1" max="3" width="12.6640625" style="18" customWidth="1"/>
    <col min="4" max="4" width="31.6640625" style="18" customWidth="1"/>
    <col min="5" max="7" width="12.6640625" style="18" customWidth="1"/>
    <col min="8" max="9" width="9.1640625" style="18"/>
    <col min="10" max="10" width="10.5" style="18" bestFit="1" customWidth="1"/>
    <col min="11" max="16384" width="9.1640625" style="18"/>
  </cols>
  <sheetData>
    <row r="1" spans="1:12" x14ac:dyDescent="0.2">
      <c r="A1" s="124" t="s">
        <v>23</v>
      </c>
      <c r="B1" s="124"/>
      <c r="C1" s="124"/>
      <c r="D1" s="124"/>
      <c r="E1" s="124"/>
      <c r="F1" s="124"/>
      <c r="G1" s="124"/>
    </row>
    <row r="2" spans="1:12" x14ac:dyDescent="0.2">
      <c r="A2" s="124" t="s">
        <v>24</v>
      </c>
      <c r="B2" s="124"/>
      <c r="C2" s="124"/>
      <c r="D2" s="124"/>
      <c r="E2" s="124"/>
      <c r="F2" s="124"/>
      <c r="G2" s="124"/>
    </row>
    <row r="3" spans="1:12" x14ac:dyDescent="0.2">
      <c r="A3" s="125">
        <v>43830</v>
      </c>
      <c r="B3" s="125"/>
      <c r="C3" s="125"/>
      <c r="D3" s="125"/>
      <c r="E3" s="125"/>
      <c r="F3" s="125"/>
      <c r="G3" s="125"/>
    </row>
    <row r="6" spans="1:12" x14ac:dyDescent="0.2">
      <c r="A6" s="126" t="s">
        <v>25</v>
      </c>
      <c r="B6" s="127"/>
      <c r="C6" s="128"/>
      <c r="D6" s="19">
        <v>43830</v>
      </c>
      <c r="E6" s="129" t="s">
        <v>26</v>
      </c>
      <c r="F6" s="127"/>
      <c r="G6" s="128"/>
    </row>
    <row r="7" spans="1:12" x14ac:dyDescent="0.2">
      <c r="A7" s="20" t="s">
        <v>27</v>
      </c>
      <c r="B7" s="21" t="s">
        <v>28</v>
      </c>
      <c r="C7" s="22" t="s">
        <v>29</v>
      </c>
      <c r="D7" s="23"/>
      <c r="E7" s="24" t="s">
        <v>27</v>
      </c>
      <c r="F7" s="21" t="s">
        <v>28</v>
      </c>
      <c r="G7" s="22" t="s">
        <v>29</v>
      </c>
    </row>
    <row r="8" spans="1:12" x14ac:dyDescent="0.2">
      <c r="A8" s="25"/>
      <c r="C8" s="26"/>
      <c r="D8" s="27" t="s">
        <v>30</v>
      </c>
      <c r="E8" s="28"/>
      <c r="G8" s="26"/>
    </row>
    <row r="9" spans="1:12" x14ac:dyDescent="0.2">
      <c r="A9" s="29">
        <v>47942.34</v>
      </c>
      <c r="B9" s="30">
        <v>27500</v>
      </c>
      <c r="C9" s="31">
        <f>A9-B9</f>
        <v>20442.339999999997</v>
      </c>
      <c r="D9" s="32" t="s">
        <v>31</v>
      </c>
      <c r="E9" s="33">
        <v>518166</v>
      </c>
      <c r="F9" s="30">
        <v>458750</v>
      </c>
      <c r="G9" s="31">
        <f t="shared" ref="G9:G15" si="0">E9-F9</f>
        <v>59416</v>
      </c>
      <c r="H9" s="34"/>
    </row>
    <row r="10" spans="1:12" x14ac:dyDescent="0.2">
      <c r="A10" s="29">
        <v>61945.84</v>
      </c>
      <c r="B10" s="30">
        <v>57000</v>
      </c>
      <c r="C10" s="31">
        <f>A10-B10</f>
        <v>4945.8399999999965</v>
      </c>
      <c r="D10" s="32" t="s">
        <v>32</v>
      </c>
      <c r="E10" s="33">
        <v>82394</v>
      </c>
      <c r="F10" s="30">
        <v>82435</v>
      </c>
      <c r="G10" s="31">
        <f t="shared" si="0"/>
        <v>-41</v>
      </c>
      <c r="H10" s="34"/>
    </row>
    <row r="11" spans="1:12" x14ac:dyDescent="0.2">
      <c r="A11" s="29">
        <v>1615</v>
      </c>
      <c r="B11" s="30">
        <v>250</v>
      </c>
      <c r="C11" s="31">
        <f t="shared" ref="C11:C15" si="1">A11-B11</f>
        <v>1365</v>
      </c>
      <c r="D11" s="32" t="s">
        <v>33</v>
      </c>
      <c r="E11" s="33">
        <v>10320</v>
      </c>
      <c r="F11" s="30">
        <v>6295</v>
      </c>
      <c r="G11" s="31">
        <f t="shared" si="0"/>
        <v>4025</v>
      </c>
      <c r="H11" s="34"/>
    </row>
    <row r="12" spans="1:12" x14ac:dyDescent="0.2">
      <c r="A12" s="29">
        <v>0</v>
      </c>
      <c r="B12" s="30">
        <v>0</v>
      </c>
      <c r="C12" s="31">
        <f t="shared" si="1"/>
        <v>0</v>
      </c>
      <c r="D12" s="32" t="s">
        <v>34</v>
      </c>
      <c r="E12" s="33">
        <v>0</v>
      </c>
      <c r="F12" s="30">
        <v>0</v>
      </c>
      <c r="G12" s="31">
        <f t="shared" si="0"/>
        <v>0</v>
      </c>
      <c r="H12" s="34"/>
      <c r="L12" s="34"/>
    </row>
    <row r="13" spans="1:12" x14ac:dyDescent="0.2">
      <c r="A13" s="29">
        <v>19737.490000000002</v>
      </c>
      <c r="B13" s="30">
        <v>4896</v>
      </c>
      <c r="C13" s="31">
        <f t="shared" si="1"/>
        <v>14841.490000000002</v>
      </c>
      <c r="D13" s="32" t="s">
        <v>35</v>
      </c>
      <c r="E13" s="33">
        <v>47957</v>
      </c>
      <c r="F13" s="30">
        <v>58752</v>
      </c>
      <c r="G13" s="31">
        <f t="shared" si="0"/>
        <v>-10795</v>
      </c>
      <c r="H13" s="34"/>
    </row>
    <row r="14" spans="1:12" x14ac:dyDescent="0.2">
      <c r="A14" s="29">
        <v>3150.34</v>
      </c>
      <c r="B14" s="30">
        <v>6000</v>
      </c>
      <c r="C14" s="31">
        <f t="shared" si="1"/>
        <v>-2849.66</v>
      </c>
      <c r="D14" s="32" t="s">
        <v>36</v>
      </c>
      <c r="E14" s="33">
        <v>95071</v>
      </c>
      <c r="F14" s="30">
        <v>60500</v>
      </c>
      <c r="G14" s="31">
        <f t="shared" si="0"/>
        <v>34571</v>
      </c>
      <c r="H14" s="34"/>
    </row>
    <row r="15" spans="1:12" x14ac:dyDescent="0.2">
      <c r="A15" s="29">
        <v>4360.7700000000004</v>
      </c>
      <c r="B15" s="30">
        <v>1000</v>
      </c>
      <c r="C15" s="31">
        <f t="shared" si="1"/>
        <v>3360.7700000000004</v>
      </c>
      <c r="D15" s="35" t="s">
        <v>37</v>
      </c>
      <c r="E15" s="33">
        <v>16377</v>
      </c>
      <c r="F15" s="30">
        <v>10475</v>
      </c>
      <c r="G15" s="31">
        <f t="shared" si="0"/>
        <v>5902</v>
      </c>
      <c r="H15" s="34"/>
    </row>
    <row r="16" spans="1:12" x14ac:dyDescent="0.2">
      <c r="A16" s="29"/>
      <c r="B16" s="30"/>
      <c r="C16" s="31"/>
      <c r="D16" s="35"/>
      <c r="E16" s="33"/>
      <c r="F16" s="30"/>
      <c r="G16" s="31"/>
      <c r="H16" s="34"/>
    </row>
    <row r="17" spans="1:10" x14ac:dyDescent="0.2">
      <c r="A17" s="36">
        <f>SUM(A9:A16)</f>
        <v>138751.77999999997</v>
      </c>
      <c r="B17" s="37">
        <f>SUM(B9:B16)</f>
        <v>96646</v>
      </c>
      <c r="C17" s="38">
        <f>SUM(C9:C16)</f>
        <v>42105.78</v>
      </c>
      <c r="D17" s="39" t="s">
        <v>38</v>
      </c>
      <c r="E17" s="40">
        <f>SUM(E9:E16)</f>
        <v>770285</v>
      </c>
      <c r="F17" s="37">
        <f>SUM(F9:F16)</f>
        <v>677207</v>
      </c>
      <c r="G17" s="38">
        <f>SUM(G9:G16)</f>
        <v>93078</v>
      </c>
      <c r="H17" s="34"/>
    </row>
    <row r="18" spans="1:10" x14ac:dyDescent="0.2">
      <c r="A18" s="41"/>
      <c r="B18" s="42"/>
      <c r="C18" s="43"/>
      <c r="D18" s="44"/>
      <c r="E18" s="45"/>
      <c r="F18" s="42"/>
      <c r="G18" s="43"/>
      <c r="H18" s="34"/>
    </row>
    <row r="19" spans="1:10" x14ac:dyDescent="0.2">
      <c r="A19" s="29"/>
      <c r="B19" s="30"/>
      <c r="C19" s="46"/>
      <c r="D19" s="27" t="s">
        <v>39</v>
      </c>
      <c r="E19" s="47"/>
      <c r="F19" s="48"/>
      <c r="G19" s="46"/>
      <c r="H19" s="34"/>
    </row>
    <row r="20" spans="1:10" x14ac:dyDescent="0.2">
      <c r="A20" s="29">
        <v>37301.51</v>
      </c>
      <c r="B20" s="30">
        <v>16500</v>
      </c>
      <c r="C20" s="31">
        <f>SUM(A20-B20)</f>
        <v>20801.510000000002</v>
      </c>
      <c r="D20" s="32" t="s">
        <v>40</v>
      </c>
      <c r="E20" s="33">
        <v>341781</v>
      </c>
      <c r="F20" s="30">
        <v>275250</v>
      </c>
      <c r="G20" s="31">
        <f>SUM(E20-F20)</f>
        <v>66531</v>
      </c>
      <c r="H20" s="34"/>
      <c r="J20" s="30"/>
    </row>
    <row r="21" spans="1:10" x14ac:dyDescent="0.2">
      <c r="A21" s="29">
        <v>44649.5</v>
      </c>
      <c r="B21" s="30">
        <v>37500</v>
      </c>
      <c r="C21" s="31">
        <f>SUM(A21-B21)</f>
        <v>7149.5</v>
      </c>
      <c r="D21" s="32" t="s">
        <v>41</v>
      </c>
      <c r="E21" s="33">
        <v>54703</v>
      </c>
      <c r="F21" s="30">
        <v>50825</v>
      </c>
      <c r="G21" s="31">
        <f>SUM(E21-F21)</f>
        <v>3878</v>
      </c>
      <c r="H21" s="34"/>
    </row>
    <row r="22" spans="1:10" x14ac:dyDescent="0.2">
      <c r="A22" s="18">
        <v>0</v>
      </c>
      <c r="B22" s="18">
        <v>0</v>
      </c>
      <c r="C22" s="31">
        <f>SUM(A22-B22)</f>
        <v>0</v>
      </c>
      <c r="D22" s="35" t="s">
        <v>42</v>
      </c>
      <c r="E22" s="33">
        <v>635</v>
      </c>
      <c r="F22" s="30">
        <v>0</v>
      </c>
      <c r="G22" s="31">
        <f>SUM(E22-F22)</f>
        <v>635</v>
      </c>
      <c r="H22" s="34"/>
    </row>
    <row r="23" spans="1:10" x14ac:dyDescent="0.2">
      <c r="A23" s="29"/>
      <c r="B23" s="30"/>
      <c r="C23" s="31"/>
      <c r="D23" s="32"/>
      <c r="E23" s="33"/>
      <c r="F23" s="30"/>
      <c r="G23" s="31"/>
      <c r="H23" s="34"/>
    </row>
    <row r="24" spans="1:10" x14ac:dyDescent="0.2">
      <c r="A24" s="29"/>
      <c r="B24" s="30"/>
      <c r="C24" s="31"/>
      <c r="D24" s="23"/>
      <c r="E24" s="33"/>
      <c r="F24" s="30"/>
      <c r="G24" s="31"/>
      <c r="H24" s="34"/>
      <c r="I24" s="34"/>
    </row>
    <row r="25" spans="1:10" x14ac:dyDescent="0.2">
      <c r="A25" s="29"/>
      <c r="B25" s="30"/>
      <c r="C25" s="49"/>
      <c r="D25" s="23"/>
      <c r="E25" s="33"/>
      <c r="F25" s="30"/>
      <c r="G25" s="31"/>
      <c r="H25" s="34"/>
    </row>
    <row r="26" spans="1:10" x14ac:dyDescent="0.2">
      <c r="A26" s="36">
        <f>SUM(A19:A25)</f>
        <v>81951.010000000009</v>
      </c>
      <c r="B26" s="37">
        <f>SUM(B19:B25)</f>
        <v>54000</v>
      </c>
      <c r="C26" s="38">
        <f>SUM(C20:C25)</f>
        <v>27951.010000000002</v>
      </c>
      <c r="D26" s="39" t="s">
        <v>43</v>
      </c>
      <c r="E26" s="40">
        <f>SUM(E20:E25)</f>
        <v>397119</v>
      </c>
      <c r="F26" s="37">
        <f>SUM(F20:F25)</f>
        <v>326075</v>
      </c>
      <c r="G26" s="38">
        <f>SUM(G20:G25)</f>
        <v>71044</v>
      </c>
      <c r="H26" s="34"/>
    </row>
    <row r="27" spans="1:10" x14ac:dyDescent="0.2">
      <c r="A27" s="50"/>
      <c r="B27" s="51"/>
      <c r="C27" s="52"/>
      <c r="D27" s="44"/>
      <c r="E27" s="53"/>
      <c r="F27" s="51"/>
      <c r="G27" s="52"/>
      <c r="H27" s="34"/>
    </row>
    <row r="28" spans="1:10" x14ac:dyDescent="0.2">
      <c r="A28" s="36">
        <f>A17-A26</f>
        <v>56800.76999999996</v>
      </c>
      <c r="B28" s="37">
        <f>B17-B26</f>
        <v>42646</v>
      </c>
      <c r="C28" s="38">
        <f>C17-C26</f>
        <v>14154.769999999997</v>
      </c>
      <c r="D28" s="39" t="s">
        <v>44</v>
      </c>
      <c r="E28" s="40">
        <f>E17-E26</f>
        <v>373166</v>
      </c>
      <c r="F28" s="37">
        <f>F17-F26</f>
        <v>351132</v>
      </c>
      <c r="G28" s="38">
        <f>G17-G26</f>
        <v>22034</v>
      </c>
      <c r="H28" s="34"/>
    </row>
    <row r="29" spans="1:10" x14ac:dyDescent="0.2">
      <c r="A29" s="50"/>
      <c r="B29" s="51"/>
      <c r="C29" s="52"/>
      <c r="D29" s="35"/>
      <c r="E29" s="53"/>
      <c r="F29" s="51"/>
      <c r="G29" s="52"/>
      <c r="H29" s="34"/>
    </row>
    <row r="30" spans="1:10" x14ac:dyDescent="0.2">
      <c r="A30" s="54"/>
      <c r="B30" s="48"/>
      <c r="C30" s="46"/>
      <c r="D30" s="27" t="s">
        <v>45</v>
      </c>
      <c r="E30" s="47"/>
      <c r="F30" s="48"/>
      <c r="G30" s="46"/>
      <c r="H30" s="34"/>
    </row>
    <row r="31" spans="1:10" x14ac:dyDescent="0.2">
      <c r="A31" s="29"/>
      <c r="B31" s="30"/>
      <c r="C31" s="31"/>
      <c r="D31" s="55" t="s">
        <v>46</v>
      </c>
      <c r="E31" s="33"/>
      <c r="F31" s="30"/>
      <c r="G31" s="31"/>
      <c r="H31" s="34"/>
    </row>
    <row r="32" spans="1:10" x14ac:dyDescent="0.2">
      <c r="A32" s="29">
        <v>3321.3</v>
      </c>
      <c r="B32" s="30">
        <v>4968</v>
      </c>
      <c r="C32" s="31">
        <f>SUM(A32-B32)</f>
        <v>-1646.6999999999998</v>
      </c>
      <c r="D32" s="35" t="s">
        <v>47</v>
      </c>
      <c r="E32" s="33">
        <v>64800</v>
      </c>
      <c r="F32" s="30">
        <v>57806</v>
      </c>
      <c r="G32" s="31">
        <f>SUM(E32-F32)</f>
        <v>6994</v>
      </c>
      <c r="H32" s="34"/>
    </row>
    <row r="33" spans="1:8" x14ac:dyDescent="0.2">
      <c r="A33" s="29">
        <v>0</v>
      </c>
      <c r="B33" s="30">
        <v>0</v>
      </c>
      <c r="C33" s="31">
        <f t="shared" ref="C33:C43" si="2">SUM(A33-B33)</f>
        <v>0</v>
      </c>
      <c r="D33" s="56" t="s">
        <v>48</v>
      </c>
      <c r="E33" s="33">
        <v>0</v>
      </c>
      <c r="F33" s="30">
        <v>0</v>
      </c>
      <c r="G33" s="31">
        <f t="shared" ref="G33:G43" si="3">SUM(E33-F33)</f>
        <v>0</v>
      </c>
      <c r="H33" s="34"/>
    </row>
    <row r="34" spans="1:8" x14ac:dyDescent="0.2">
      <c r="A34" s="29">
        <v>70.5</v>
      </c>
      <c r="B34" s="30">
        <v>750</v>
      </c>
      <c r="C34" s="31">
        <f t="shared" si="2"/>
        <v>-679.5</v>
      </c>
      <c r="D34" s="35" t="s">
        <v>49</v>
      </c>
      <c r="E34" s="33">
        <v>12124</v>
      </c>
      <c r="F34" s="30">
        <v>12350</v>
      </c>
      <c r="G34" s="31">
        <f t="shared" si="3"/>
        <v>-226</v>
      </c>
      <c r="H34" s="34"/>
    </row>
    <row r="35" spans="1:8" x14ac:dyDescent="0.2">
      <c r="A35" s="29">
        <v>166.95</v>
      </c>
      <c r="B35" s="30">
        <v>200</v>
      </c>
      <c r="C35" s="31">
        <f t="shared" si="2"/>
        <v>-33.050000000000011</v>
      </c>
      <c r="D35" s="35" t="s">
        <v>50</v>
      </c>
      <c r="E35" s="33">
        <v>2633</v>
      </c>
      <c r="F35" s="30">
        <v>2400</v>
      </c>
      <c r="G35" s="31">
        <f t="shared" si="3"/>
        <v>233</v>
      </c>
      <c r="H35" s="34"/>
    </row>
    <row r="36" spans="1:8" x14ac:dyDescent="0.2">
      <c r="A36" s="29">
        <v>2709.17</v>
      </c>
      <c r="B36" s="30">
        <v>450</v>
      </c>
      <c r="C36" s="31">
        <f>SUM(A36-B36)</f>
        <v>2259.17</v>
      </c>
      <c r="D36" s="35" t="s">
        <v>51</v>
      </c>
      <c r="E36" s="33">
        <v>18526</v>
      </c>
      <c r="F36" s="30">
        <v>19005</v>
      </c>
      <c r="G36" s="31">
        <f t="shared" si="3"/>
        <v>-479</v>
      </c>
      <c r="H36" s="34"/>
    </row>
    <row r="37" spans="1:8" x14ac:dyDescent="0.2">
      <c r="A37" s="29">
        <v>79.599999999999994</v>
      </c>
      <c r="B37" s="30">
        <v>50</v>
      </c>
      <c r="C37" s="31">
        <f t="shared" si="2"/>
        <v>29.599999999999994</v>
      </c>
      <c r="D37" s="35" t="s">
        <v>52</v>
      </c>
      <c r="E37" s="33">
        <v>539</v>
      </c>
      <c r="F37" s="30">
        <v>600</v>
      </c>
      <c r="G37" s="31">
        <f t="shared" si="3"/>
        <v>-61</v>
      </c>
      <c r="H37" s="34"/>
    </row>
    <row r="38" spans="1:8" x14ac:dyDescent="0.2">
      <c r="A38" s="29">
        <v>0</v>
      </c>
      <c r="B38" s="30">
        <v>0</v>
      </c>
      <c r="C38" s="31">
        <f t="shared" si="2"/>
        <v>0</v>
      </c>
      <c r="D38" s="35" t="s">
        <v>53</v>
      </c>
      <c r="E38" s="33">
        <v>0</v>
      </c>
      <c r="F38" s="30">
        <v>0</v>
      </c>
      <c r="G38" s="31">
        <f t="shared" si="3"/>
        <v>0</v>
      </c>
      <c r="H38" s="34"/>
    </row>
    <row r="39" spans="1:8" x14ac:dyDescent="0.2">
      <c r="A39" s="29">
        <v>0</v>
      </c>
      <c r="B39" s="30">
        <v>0</v>
      </c>
      <c r="C39" s="31">
        <f t="shared" si="2"/>
        <v>0</v>
      </c>
      <c r="D39" s="35" t="s">
        <v>54</v>
      </c>
      <c r="E39" s="33">
        <v>0</v>
      </c>
      <c r="F39" s="30">
        <v>0</v>
      </c>
      <c r="G39" s="31">
        <f t="shared" si="3"/>
        <v>0</v>
      </c>
      <c r="H39" s="34"/>
    </row>
    <row r="40" spans="1:8" x14ac:dyDescent="0.2">
      <c r="A40" s="29">
        <v>0</v>
      </c>
      <c r="B40" s="30">
        <v>0</v>
      </c>
      <c r="C40" s="31">
        <f t="shared" si="2"/>
        <v>0</v>
      </c>
      <c r="D40" s="35" t="s">
        <v>55</v>
      </c>
      <c r="E40" s="33">
        <v>0</v>
      </c>
      <c r="F40" s="30">
        <v>0</v>
      </c>
      <c r="G40" s="31">
        <f t="shared" si="3"/>
        <v>0</v>
      </c>
      <c r="H40" s="34"/>
    </row>
    <row r="41" spans="1:8" x14ac:dyDescent="0.2">
      <c r="A41" s="29">
        <v>0</v>
      </c>
      <c r="B41" s="30">
        <v>100</v>
      </c>
      <c r="C41" s="31">
        <f t="shared" si="2"/>
        <v>-100</v>
      </c>
      <c r="D41" s="35" t="s">
        <v>56</v>
      </c>
      <c r="E41" s="33">
        <v>233</v>
      </c>
      <c r="F41" s="30">
        <v>3110</v>
      </c>
      <c r="G41" s="31">
        <f t="shared" si="3"/>
        <v>-2877</v>
      </c>
      <c r="H41" s="34"/>
    </row>
    <row r="42" spans="1:8" x14ac:dyDescent="0.2">
      <c r="A42" s="29">
        <v>437</v>
      </c>
      <c r="B42" s="30">
        <v>425</v>
      </c>
      <c r="C42" s="31">
        <f t="shared" si="2"/>
        <v>12</v>
      </c>
      <c r="D42" s="35" t="s">
        <v>57</v>
      </c>
      <c r="E42" s="33">
        <v>5433</v>
      </c>
      <c r="F42" s="30">
        <v>5125</v>
      </c>
      <c r="G42" s="31">
        <f t="shared" si="3"/>
        <v>308</v>
      </c>
      <c r="H42" s="34"/>
    </row>
    <row r="43" spans="1:8" x14ac:dyDescent="0.2">
      <c r="A43" s="57">
        <v>0</v>
      </c>
      <c r="B43" s="58">
        <v>25</v>
      </c>
      <c r="C43" s="59">
        <f t="shared" si="2"/>
        <v>-25</v>
      </c>
      <c r="D43" s="35" t="s">
        <v>37</v>
      </c>
      <c r="E43" s="60">
        <v>1239</v>
      </c>
      <c r="F43" s="58">
        <v>300</v>
      </c>
      <c r="G43" s="59">
        <f t="shared" si="3"/>
        <v>939</v>
      </c>
      <c r="H43" s="34"/>
    </row>
    <row r="44" spans="1:8" x14ac:dyDescent="0.2">
      <c r="A44" s="29">
        <f>SUM(A32:A43)</f>
        <v>6784.52</v>
      </c>
      <c r="B44" s="30">
        <f>SUM(B32:B43)</f>
        <v>6968</v>
      </c>
      <c r="C44" s="31">
        <f>SUM(C32:C43)</f>
        <v>-183.47999999999993</v>
      </c>
      <c r="D44" s="61" t="s">
        <v>58</v>
      </c>
      <c r="E44" s="33">
        <f>SUM(E32:E43)</f>
        <v>105527</v>
      </c>
      <c r="F44" s="30">
        <f>SUM(F32:F43)</f>
        <v>100696</v>
      </c>
      <c r="G44" s="31">
        <f>SUM(G32:G43)</f>
        <v>4831</v>
      </c>
      <c r="H44" s="34"/>
    </row>
    <row r="45" spans="1:8" x14ac:dyDescent="0.2">
      <c r="A45" s="29"/>
      <c r="B45" s="30"/>
      <c r="C45" s="31"/>
      <c r="D45" s="61"/>
      <c r="E45" s="33"/>
      <c r="F45" s="30"/>
      <c r="G45" s="31"/>
      <c r="H45" s="34"/>
    </row>
    <row r="46" spans="1:8" x14ac:dyDescent="0.2">
      <c r="A46" s="29"/>
      <c r="B46" s="30"/>
      <c r="C46" s="31"/>
      <c r="D46" s="55" t="s">
        <v>59</v>
      </c>
      <c r="E46" s="33"/>
      <c r="F46" s="30"/>
      <c r="G46" s="31"/>
      <c r="H46" s="34"/>
    </row>
    <row r="47" spans="1:8" x14ac:dyDescent="0.2">
      <c r="A47" s="29">
        <v>4625.96</v>
      </c>
      <c r="B47" s="30">
        <v>2937</v>
      </c>
      <c r="C47" s="31">
        <f t="shared" ref="C47:C52" si="4">SUM(A47-B47)</f>
        <v>1688.96</v>
      </c>
      <c r="D47" s="35" t="s">
        <v>47</v>
      </c>
      <c r="E47" s="33">
        <v>43901</v>
      </c>
      <c r="F47" s="30">
        <v>56719</v>
      </c>
      <c r="G47" s="31">
        <f t="shared" ref="G47:G52" si="5">SUM(E47-F47)</f>
        <v>-12818</v>
      </c>
      <c r="H47" s="34"/>
    </row>
    <row r="48" spans="1:8" x14ac:dyDescent="0.2">
      <c r="A48" s="29">
        <v>192.71</v>
      </c>
      <c r="B48" s="30">
        <v>200</v>
      </c>
      <c r="C48" s="31">
        <f t="shared" si="4"/>
        <v>-7.289999999999992</v>
      </c>
      <c r="D48" s="35" t="s">
        <v>49</v>
      </c>
      <c r="E48" s="33">
        <v>4768</v>
      </c>
      <c r="F48" s="30">
        <v>7340</v>
      </c>
      <c r="G48" s="31">
        <f t="shared" si="5"/>
        <v>-2572</v>
      </c>
      <c r="H48" s="34"/>
    </row>
    <row r="49" spans="1:8" x14ac:dyDescent="0.2">
      <c r="A49" s="29">
        <v>957.23</v>
      </c>
      <c r="B49" s="30">
        <v>100</v>
      </c>
      <c r="C49" s="31">
        <f t="shared" si="4"/>
        <v>857.23</v>
      </c>
      <c r="D49" s="35" t="s">
        <v>37</v>
      </c>
      <c r="E49" s="33">
        <v>7622</v>
      </c>
      <c r="F49" s="30">
        <v>4325</v>
      </c>
      <c r="G49" s="31">
        <f t="shared" si="5"/>
        <v>3297</v>
      </c>
      <c r="H49" s="34"/>
    </row>
    <row r="50" spans="1:8" x14ac:dyDescent="0.2">
      <c r="A50" s="29">
        <v>19444.150000000001</v>
      </c>
      <c r="B50" s="30">
        <v>6066</v>
      </c>
      <c r="C50" s="31">
        <f t="shared" si="4"/>
        <v>13378.150000000001</v>
      </c>
      <c r="D50" s="35" t="s">
        <v>60</v>
      </c>
      <c r="E50" s="33">
        <v>75829</v>
      </c>
      <c r="F50" s="30">
        <v>72792</v>
      </c>
      <c r="G50" s="31">
        <f t="shared" si="5"/>
        <v>3037</v>
      </c>
      <c r="H50" s="34"/>
    </row>
    <row r="51" spans="1:8" x14ac:dyDescent="0.2">
      <c r="A51" s="29">
        <v>3150.34</v>
      </c>
      <c r="B51" s="30">
        <v>6000</v>
      </c>
      <c r="C51" s="31">
        <f t="shared" si="4"/>
        <v>-2849.66</v>
      </c>
      <c r="D51" s="35" t="s">
        <v>61</v>
      </c>
      <c r="E51" s="33">
        <v>95971</v>
      </c>
      <c r="F51" s="30">
        <v>60500</v>
      </c>
      <c r="G51" s="31">
        <f t="shared" si="5"/>
        <v>35471</v>
      </c>
      <c r="H51" s="34"/>
    </row>
    <row r="52" spans="1:8" x14ac:dyDescent="0.2">
      <c r="A52" s="57">
        <v>962.9</v>
      </c>
      <c r="B52" s="58">
        <v>100</v>
      </c>
      <c r="C52" s="31">
        <f t="shared" si="4"/>
        <v>862.9</v>
      </c>
      <c r="D52" s="35" t="s">
        <v>62</v>
      </c>
      <c r="E52" s="60">
        <v>12827</v>
      </c>
      <c r="F52" s="58">
        <v>11875</v>
      </c>
      <c r="G52" s="31">
        <f t="shared" si="5"/>
        <v>952</v>
      </c>
      <c r="H52" s="34"/>
    </row>
    <row r="53" spans="1:8" x14ac:dyDescent="0.2">
      <c r="A53" s="29">
        <f>SUM(A47:A52)</f>
        <v>29333.290000000005</v>
      </c>
      <c r="B53" s="30">
        <f>SUM(B47:B52)</f>
        <v>15403</v>
      </c>
      <c r="C53" s="31">
        <f>SUM(C47:C52)</f>
        <v>13930.29</v>
      </c>
      <c r="D53" s="61" t="s">
        <v>63</v>
      </c>
      <c r="E53" s="33">
        <f>SUM(E47:E52)</f>
        <v>240918</v>
      </c>
      <c r="F53" s="30">
        <f>SUM(F47:F52)</f>
        <v>213551</v>
      </c>
      <c r="G53" s="31">
        <f>SUM(G47:G52)</f>
        <v>27367</v>
      </c>
      <c r="H53" s="34"/>
    </row>
    <row r="54" spans="1:8" x14ac:dyDescent="0.2">
      <c r="A54" s="29"/>
      <c r="B54" s="30"/>
      <c r="C54" s="31"/>
      <c r="D54" s="35"/>
      <c r="E54" s="33"/>
      <c r="F54" s="30"/>
      <c r="G54" s="31"/>
      <c r="H54" s="34"/>
    </row>
    <row r="55" spans="1:8" x14ac:dyDescent="0.2">
      <c r="A55" s="29"/>
      <c r="B55" s="30"/>
      <c r="C55" s="31"/>
      <c r="D55" s="55" t="s">
        <v>64</v>
      </c>
      <c r="E55" s="33"/>
      <c r="F55" s="30"/>
      <c r="G55" s="31"/>
      <c r="H55" s="34"/>
    </row>
    <row r="56" spans="1:8" x14ac:dyDescent="0.2">
      <c r="A56" s="29">
        <v>1397.84</v>
      </c>
      <c r="B56" s="30">
        <v>1756</v>
      </c>
      <c r="C56" s="31">
        <f>SUM(A56-B56)</f>
        <v>-358.16000000000008</v>
      </c>
      <c r="D56" s="35" t="s">
        <v>47</v>
      </c>
      <c r="E56" s="33">
        <v>21451</v>
      </c>
      <c r="F56" s="30">
        <v>22122</v>
      </c>
      <c r="G56" s="31">
        <f>SUM(E56-F56)</f>
        <v>-671</v>
      </c>
      <c r="H56" s="34"/>
    </row>
    <row r="57" spans="1:8" x14ac:dyDescent="0.2">
      <c r="A57" s="29">
        <v>0</v>
      </c>
      <c r="B57" s="30">
        <v>0</v>
      </c>
      <c r="C57" s="31">
        <f t="shared" ref="C57:C65" si="6">SUM(A57-B57)</f>
        <v>0</v>
      </c>
      <c r="D57" s="35" t="s">
        <v>48</v>
      </c>
      <c r="E57" s="33">
        <v>0</v>
      </c>
      <c r="F57" s="30">
        <v>0</v>
      </c>
      <c r="G57" s="31">
        <f t="shared" ref="G57:G64" si="7">SUM(E57-F57)</f>
        <v>0</v>
      </c>
      <c r="H57" s="34"/>
    </row>
    <row r="58" spans="1:8" x14ac:dyDescent="0.2">
      <c r="A58" s="29">
        <v>0</v>
      </c>
      <c r="B58" s="30">
        <v>10</v>
      </c>
      <c r="C58" s="31">
        <f t="shared" si="6"/>
        <v>-10</v>
      </c>
      <c r="D58" s="35" t="s">
        <v>49</v>
      </c>
      <c r="E58" s="33">
        <v>30</v>
      </c>
      <c r="F58" s="30">
        <v>120</v>
      </c>
      <c r="G58" s="31">
        <f t="shared" si="7"/>
        <v>-90</v>
      </c>
      <c r="H58" s="34"/>
    </row>
    <row r="59" spans="1:8" x14ac:dyDescent="0.2">
      <c r="A59" s="29">
        <v>80.52</v>
      </c>
      <c r="B59" s="30">
        <v>125</v>
      </c>
      <c r="C59" s="31">
        <f t="shared" si="6"/>
        <v>-44.480000000000004</v>
      </c>
      <c r="D59" s="35" t="s">
        <v>50</v>
      </c>
      <c r="E59" s="33">
        <v>984</v>
      </c>
      <c r="F59" s="30">
        <v>1500</v>
      </c>
      <c r="G59" s="31">
        <f t="shared" si="7"/>
        <v>-516</v>
      </c>
      <c r="H59" s="34"/>
    </row>
    <row r="60" spans="1:8" x14ac:dyDescent="0.2">
      <c r="A60" s="29">
        <v>0</v>
      </c>
      <c r="B60" s="30">
        <v>15</v>
      </c>
      <c r="C60" s="31">
        <f t="shared" si="6"/>
        <v>-15</v>
      </c>
      <c r="D60" s="35" t="s">
        <v>57</v>
      </c>
      <c r="E60" s="33">
        <v>123</v>
      </c>
      <c r="F60" s="30">
        <v>150</v>
      </c>
      <c r="G60" s="31">
        <f t="shared" si="7"/>
        <v>-27</v>
      </c>
      <c r="H60" s="34"/>
    </row>
    <row r="61" spans="1:8" x14ac:dyDescent="0.2">
      <c r="A61" s="29">
        <v>381</v>
      </c>
      <c r="B61" s="30">
        <v>381</v>
      </c>
      <c r="C61" s="31">
        <f t="shared" si="6"/>
        <v>0</v>
      </c>
      <c r="D61" s="35" t="s">
        <v>65</v>
      </c>
      <c r="E61" s="33">
        <v>4572</v>
      </c>
      <c r="F61" s="30">
        <v>4572</v>
      </c>
      <c r="G61" s="31">
        <f t="shared" si="7"/>
        <v>0</v>
      </c>
      <c r="H61" s="34"/>
    </row>
    <row r="62" spans="1:8" x14ac:dyDescent="0.2">
      <c r="A62" s="29">
        <v>77.08</v>
      </c>
      <c r="B62" s="30">
        <v>20</v>
      </c>
      <c r="C62" s="31">
        <f t="shared" si="6"/>
        <v>57.08</v>
      </c>
      <c r="D62" s="35" t="s">
        <v>66</v>
      </c>
      <c r="E62" s="33">
        <v>387</v>
      </c>
      <c r="F62" s="30">
        <v>240</v>
      </c>
      <c r="G62" s="31">
        <f t="shared" si="7"/>
        <v>147</v>
      </c>
      <c r="H62" s="34"/>
    </row>
    <row r="63" spans="1:8" x14ac:dyDescent="0.2">
      <c r="A63" s="29">
        <v>0</v>
      </c>
      <c r="B63" s="30">
        <v>0</v>
      </c>
      <c r="C63" s="31">
        <f t="shared" si="6"/>
        <v>0</v>
      </c>
      <c r="D63" s="35" t="s">
        <v>67</v>
      </c>
      <c r="E63" s="33">
        <v>4850</v>
      </c>
      <c r="F63" s="30">
        <v>4225</v>
      </c>
      <c r="G63" s="31">
        <f t="shared" si="7"/>
        <v>625</v>
      </c>
      <c r="H63" s="34"/>
    </row>
    <row r="64" spans="1:8" x14ac:dyDescent="0.2">
      <c r="A64" s="29">
        <v>69.7</v>
      </c>
      <c r="B64" s="30">
        <v>75</v>
      </c>
      <c r="C64" s="31">
        <f t="shared" si="6"/>
        <v>-5.2999999999999972</v>
      </c>
      <c r="D64" s="35" t="s">
        <v>68</v>
      </c>
      <c r="E64" s="33">
        <v>270</v>
      </c>
      <c r="F64" s="30">
        <v>900</v>
      </c>
      <c r="G64" s="31">
        <f t="shared" si="7"/>
        <v>-630</v>
      </c>
      <c r="H64" s="34"/>
    </row>
    <row r="65" spans="1:8" x14ac:dyDescent="0.2">
      <c r="A65" s="57">
        <v>-742.73</v>
      </c>
      <c r="B65" s="58">
        <v>500</v>
      </c>
      <c r="C65" s="59">
        <f t="shared" si="6"/>
        <v>-1242.73</v>
      </c>
      <c r="D65" s="35" t="s">
        <v>37</v>
      </c>
      <c r="E65" s="60">
        <v>-2918</v>
      </c>
      <c r="F65" s="58">
        <v>2285</v>
      </c>
      <c r="G65" s="31">
        <f>SUM(E65-F65)</f>
        <v>-5203</v>
      </c>
      <c r="H65" s="34"/>
    </row>
    <row r="66" spans="1:8" x14ac:dyDescent="0.2">
      <c r="A66" s="29">
        <f>SUM(A56:A65)</f>
        <v>1263.4099999999999</v>
      </c>
      <c r="B66" s="30">
        <f>SUM(B56:B65)</f>
        <v>2882</v>
      </c>
      <c r="C66" s="31">
        <f>SUM(C56:C65)</f>
        <v>-1618.5900000000001</v>
      </c>
      <c r="D66" s="61" t="s">
        <v>63</v>
      </c>
      <c r="E66" s="33">
        <f>SUM(E56:E65)</f>
        <v>29749</v>
      </c>
      <c r="F66" s="30">
        <f>SUM(F56:F65)</f>
        <v>36114</v>
      </c>
      <c r="G66" s="31">
        <f>SUM(E66-F66)</f>
        <v>-6365</v>
      </c>
      <c r="H66" s="34"/>
    </row>
    <row r="67" spans="1:8" x14ac:dyDescent="0.2">
      <c r="A67" s="36">
        <f>A66+A53+A44</f>
        <v>37381.22</v>
      </c>
      <c r="B67" s="37">
        <f>SUM(B44+B53+B66)</f>
        <v>25253</v>
      </c>
      <c r="C67" s="38">
        <f>A67-B67</f>
        <v>12128.220000000001</v>
      </c>
      <c r="D67" s="39" t="s">
        <v>69</v>
      </c>
      <c r="E67" s="40">
        <f>E66+E53+E44</f>
        <v>376194</v>
      </c>
      <c r="F67" s="37">
        <f>SUM(F44+F53+F66)</f>
        <v>350361</v>
      </c>
      <c r="G67" s="38">
        <f>E67-F67</f>
        <v>25833</v>
      </c>
      <c r="H67" s="34"/>
    </row>
    <row r="68" spans="1:8" x14ac:dyDescent="0.2">
      <c r="A68" s="50"/>
      <c r="B68" s="51"/>
      <c r="C68" s="52"/>
      <c r="D68" s="35"/>
      <c r="E68" s="53"/>
      <c r="F68" s="51"/>
      <c r="G68" s="52"/>
      <c r="H68" s="34"/>
    </row>
    <row r="69" spans="1:8" x14ac:dyDescent="0.2">
      <c r="A69" s="54"/>
      <c r="B69" s="48"/>
      <c r="C69" s="46"/>
      <c r="D69" s="35"/>
      <c r="E69" s="47"/>
      <c r="F69" s="48"/>
      <c r="G69" s="46"/>
      <c r="H69" s="34"/>
    </row>
    <row r="70" spans="1:8" ht="16" thickBot="1" x14ac:dyDescent="0.25">
      <c r="A70" s="62">
        <f>A28-A67</f>
        <v>19419.549999999959</v>
      </c>
      <c r="B70" s="63">
        <f>B28-B67</f>
        <v>17393</v>
      </c>
      <c r="C70" s="64">
        <f>C28-C67</f>
        <v>2026.5499999999956</v>
      </c>
      <c r="D70" s="65" t="s">
        <v>70</v>
      </c>
      <c r="E70" s="62">
        <v>-954.02</v>
      </c>
      <c r="F70" s="63">
        <f>SUM(F28-F67)</f>
        <v>771</v>
      </c>
      <c r="G70" s="64">
        <f>SUM(E70-F70)</f>
        <v>-1725.02</v>
      </c>
      <c r="H70" s="34"/>
    </row>
    <row r="71" spans="1:8" ht="16" thickTop="1" x14ac:dyDescent="0.2"/>
  </sheetData>
  <mergeCells count="5">
    <mergeCell ref="A1:G1"/>
    <mergeCell ref="A2:G2"/>
    <mergeCell ref="A3:G3"/>
    <mergeCell ref="A6:C6"/>
    <mergeCell ref="E6:G6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8A500-675C-8843-B5A8-2B09D3517CEA}">
  <dimension ref="A1:P65"/>
  <sheetViews>
    <sheetView zoomScale="130" zoomScaleNormal="130" workbookViewId="0">
      <selection activeCell="P9" sqref="P9"/>
    </sheetView>
  </sheetViews>
  <sheetFormatPr baseColWidth="10" defaultColWidth="8.83203125" defaultRowHeight="15" x14ac:dyDescent="0.2"/>
  <cols>
    <col min="1" max="1" width="25.1640625" style="18" customWidth="1"/>
    <col min="2" max="13" width="8.83203125" style="18" hidden="1" customWidth="1"/>
    <col min="14" max="14" width="12.1640625" style="18" customWidth="1"/>
    <col min="15" max="16384" width="8.83203125" style="18"/>
  </cols>
  <sheetData>
    <row r="1" spans="1:16" s="66" customFormat="1" x14ac:dyDescent="0.2">
      <c r="A1" s="18"/>
      <c r="B1" s="66" t="s">
        <v>71</v>
      </c>
      <c r="C1" s="66" t="s">
        <v>72</v>
      </c>
      <c r="D1" s="66" t="s">
        <v>73</v>
      </c>
      <c r="E1" s="66" t="s">
        <v>74</v>
      </c>
      <c r="F1" s="66" t="s">
        <v>75</v>
      </c>
      <c r="G1" s="66" t="s">
        <v>76</v>
      </c>
      <c r="H1" s="66" t="s">
        <v>77</v>
      </c>
      <c r="I1" s="66" t="s">
        <v>78</v>
      </c>
      <c r="J1" s="66" t="s">
        <v>79</v>
      </c>
      <c r="K1" s="66" t="s">
        <v>80</v>
      </c>
      <c r="L1" s="66" t="s">
        <v>81</v>
      </c>
      <c r="M1" s="66" t="s">
        <v>82</v>
      </c>
      <c r="N1" s="66" t="s">
        <v>63</v>
      </c>
    </row>
    <row r="2" spans="1:16" x14ac:dyDescent="0.2">
      <c r="A2" s="32" t="s">
        <v>31</v>
      </c>
      <c r="B2" s="33">
        <v>0</v>
      </c>
      <c r="C2" s="33">
        <v>2978.43</v>
      </c>
      <c r="D2" s="33">
        <v>52138.17</v>
      </c>
      <c r="E2" s="33">
        <v>116496.59</v>
      </c>
      <c r="F2" s="33">
        <v>58401.29</v>
      </c>
      <c r="G2" s="33">
        <v>53126.3</v>
      </c>
      <c r="H2" s="33">
        <v>33571.370000000003</v>
      </c>
      <c r="I2" s="33">
        <v>68126.990000000005</v>
      </c>
      <c r="J2" s="33">
        <v>49300.59</v>
      </c>
      <c r="K2" s="33">
        <v>35864.339999999997</v>
      </c>
      <c r="L2" s="33">
        <v>29998.799999999999</v>
      </c>
      <c r="M2" s="29">
        <v>63144.51</v>
      </c>
      <c r="N2" s="34">
        <f>SUM(B2:M2)</f>
        <v>563147.37999999989</v>
      </c>
    </row>
    <row r="3" spans="1:16" x14ac:dyDescent="0.2">
      <c r="A3" s="32" t="s">
        <v>32</v>
      </c>
      <c r="B3" s="33">
        <v>387.93</v>
      </c>
      <c r="C3" s="33">
        <v>1420</v>
      </c>
      <c r="D3" s="33">
        <v>2010</v>
      </c>
      <c r="E3" s="33">
        <v>1142</v>
      </c>
      <c r="F3" s="33">
        <v>150</v>
      </c>
      <c r="G3" s="33">
        <v>4.92</v>
      </c>
      <c r="H3" s="33">
        <v>205</v>
      </c>
      <c r="I3" s="33">
        <v>3615.98</v>
      </c>
      <c r="J3" s="33">
        <v>525</v>
      </c>
      <c r="K3" s="33">
        <v>9470.56</v>
      </c>
      <c r="L3" s="33">
        <v>6596.98</v>
      </c>
      <c r="M3" s="29">
        <v>72036.350000000006</v>
      </c>
      <c r="N3" s="34">
        <f t="shared" ref="N3:N63" si="0">SUM(B3:M3)</f>
        <v>97564.72</v>
      </c>
    </row>
    <row r="4" spans="1:16" x14ac:dyDescent="0.2">
      <c r="A4" s="32" t="s">
        <v>33</v>
      </c>
      <c r="B4" s="33">
        <v>250</v>
      </c>
      <c r="C4" s="33">
        <v>650</v>
      </c>
      <c r="D4" s="33">
        <v>1635</v>
      </c>
      <c r="E4" s="33">
        <v>325</v>
      </c>
      <c r="F4" s="33">
        <v>375</v>
      </c>
      <c r="G4" s="33">
        <v>175</v>
      </c>
      <c r="H4" s="33">
        <v>400</v>
      </c>
      <c r="I4" s="33">
        <v>485</v>
      </c>
      <c r="J4" s="33">
        <v>175</v>
      </c>
      <c r="K4" s="33">
        <v>875</v>
      </c>
      <c r="L4" s="33">
        <v>735</v>
      </c>
      <c r="M4" s="29">
        <v>2275</v>
      </c>
      <c r="N4" s="34">
        <f t="shared" si="0"/>
        <v>8355</v>
      </c>
    </row>
    <row r="5" spans="1:16" x14ac:dyDescent="0.2">
      <c r="A5" s="32" t="s">
        <v>34</v>
      </c>
      <c r="B5" s="33">
        <v>0</v>
      </c>
      <c r="C5" s="33">
        <v>0</v>
      </c>
      <c r="D5" s="33">
        <v>0</v>
      </c>
      <c r="E5" s="33">
        <v>0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29">
        <v>0</v>
      </c>
      <c r="N5" s="34">
        <f t="shared" si="0"/>
        <v>0</v>
      </c>
    </row>
    <row r="6" spans="1:16" x14ac:dyDescent="0.2">
      <c r="A6" s="32" t="s">
        <v>35</v>
      </c>
      <c r="B6" s="33">
        <v>5106.42</v>
      </c>
      <c r="C6" s="33">
        <v>3685</v>
      </c>
      <c r="D6" s="33">
        <v>11135</v>
      </c>
      <c r="E6" s="33">
        <v>1020</v>
      </c>
      <c r="F6" s="33">
        <v>2722</v>
      </c>
      <c r="G6" s="33">
        <v>2722</v>
      </c>
      <c r="H6" s="33">
        <v>5662.07</v>
      </c>
      <c r="I6" s="33">
        <v>3897</v>
      </c>
      <c r="J6" s="33">
        <v>3710</v>
      </c>
      <c r="K6" s="33">
        <v>2395</v>
      </c>
      <c r="L6" s="33">
        <v>765</v>
      </c>
      <c r="M6" s="29">
        <v>3380</v>
      </c>
      <c r="N6" s="34">
        <f t="shared" si="0"/>
        <v>46199.49</v>
      </c>
    </row>
    <row r="7" spans="1:16" x14ac:dyDescent="0.2">
      <c r="A7" s="32" t="s">
        <v>36</v>
      </c>
      <c r="B7" s="33">
        <v>1829.56</v>
      </c>
      <c r="C7" s="33">
        <v>1800</v>
      </c>
      <c r="D7" s="33">
        <v>0</v>
      </c>
      <c r="E7" s="33">
        <v>7020</v>
      </c>
      <c r="F7" s="33">
        <v>0</v>
      </c>
      <c r="G7" s="33">
        <v>1600</v>
      </c>
      <c r="H7" s="33">
        <v>3427.93</v>
      </c>
      <c r="I7" s="33">
        <v>17821.689999999999</v>
      </c>
      <c r="J7" s="33">
        <v>328.77</v>
      </c>
      <c r="K7" s="33">
        <v>63804.959999999999</v>
      </c>
      <c r="L7" s="33">
        <v>8710</v>
      </c>
      <c r="M7" s="29">
        <v>8455.1</v>
      </c>
      <c r="N7" s="34">
        <f t="shared" si="0"/>
        <v>114798.01000000001</v>
      </c>
      <c r="O7" s="34"/>
    </row>
    <row r="8" spans="1:16" x14ac:dyDescent="0.2">
      <c r="A8" s="35" t="s">
        <v>37</v>
      </c>
      <c r="B8" s="33">
        <v>315.72000000000003</v>
      </c>
      <c r="C8" s="33">
        <v>684.92</v>
      </c>
      <c r="D8" s="33">
        <v>902.82</v>
      </c>
      <c r="E8" s="33">
        <v>757.05</v>
      </c>
      <c r="F8" s="33">
        <v>795.62</v>
      </c>
      <c r="G8" s="33">
        <v>174.75</v>
      </c>
      <c r="H8" s="33">
        <v>813.35</v>
      </c>
      <c r="I8" s="33">
        <v>182.95</v>
      </c>
      <c r="J8" s="33">
        <v>129.13</v>
      </c>
      <c r="K8" s="33">
        <v>5389.29</v>
      </c>
      <c r="L8" s="33">
        <v>749.87</v>
      </c>
      <c r="M8" s="29">
        <v>677.59</v>
      </c>
      <c r="N8" s="34">
        <f t="shared" si="0"/>
        <v>11573.060000000001</v>
      </c>
    </row>
    <row r="9" spans="1:16" x14ac:dyDescent="0.2">
      <c r="A9" s="35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29"/>
      <c r="N9" s="34">
        <f t="shared" si="0"/>
        <v>0</v>
      </c>
    </row>
    <row r="10" spans="1:16" x14ac:dyDescent="0.2">
      <c r="A10" s="67" t="s">
        <v>38</v>
      </c>
      <c r="B10" s="40">
        <f t="shared" ref="B10:L10" si="1">SUM(B2:B9)</f>
        <v>7889.63</v>
      </c>
      <c r="C10" s="40">
        <f t="shared" si="1"/>
        <v>11218.35</v>
      </c>
      <c r="D10" s="40">
        <f t="shared" si="1"/>
        <v>67820.990000000005</v>
      </c>
      <c r="E10" s="40">
        <f t="shared" si="1"/>
        <v>126760.64</v>
      </c>
      <c r="F10" s="40">
        <f t="shared" si="1"/>
        <v>62443.91</v>
      </c>
      <c r="G10" s="40">
        <f t="shared" si="1"/>
        <v>57802.97</v>
      </c>
      <c r="H10" s="40">
        <f t="shared" si="1"/>
        <v>44079.72</v>
      </c>
      <c r="I10" s="40">
        <f t="shared" si="1"/>
        <v>94129.61</v>
      </c>
      <c r="J10" s="40">
        <f t="shared" si="1"/>
        <v>54168.489999999991</v>
      </c>
      <c r="K10" s="40">
        <f t="shared" si="1"/>
        <v>117799.14999999998</v>
      </c>
      <c r="L10" s="40">
        <f t="shared" si="1"/>
        <v>47555.65</v>
      </c>
      <c r="M10" s="36">
        <f>SUM(M2:M9)</f>
        <v>149968.55000000002</v>
      </c>
      <c r="N10" s="34">
        <f t="shared" si="0"/>
        <v>841637.66</v>
      </c>
      <c r="P10" s="34"/>
    </row>
    <row r="11" spans="1:16" x14ac:dyDescent="0.2">
      <c r="A11" s="44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1"/>
      <c r="N11" s="34">
        <f t="shared" si="0"/>
        <v>0</v>
      </c>
    </row>
    <row r="12" spans="1:16" x14ac:dyDescent="0.2">
      <c r="A12" s="27" t="s">
        <v>39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54"/>
      <c r="N12" s="34">
        <f t="shared" si="0"/>
        <v>0</v>
      </c>
    </row>
    <row r="13" spans="1:16" x14ac:dyDescent="0.2">
      <c r="A13" s="32" t="s">
        <v>40</v>
      </c>
      <c r="B13" s="33">
        <v>9.5299999999999994</v>
      </c>
      <c r="C13" s="33">
        <v>3139.89</v>
      </c>
      <c r="D13" s="33">
        <v>26310.52</v>
      </c>
      <c r="E13" s="33">
        <v>74180.539999999994</v>
      </c>
      <c r="F13" s="33">
        <v>35728.089999999997</v>
      </c>
      <c r="G13" s="33">
        <v>40305.49</v>
      </c>
      <c r="H13" s="33">
        <v>19941.28</v>
      </c>
      <c r="I13" s="33">
        <v>44335.11</v>
      </c>
      <c r="J13" s="33">
        <v>34386.81</v>
      </c>
      <c r="K13" s="33">
        <v>32805.07</v>
      </c>
      <c r="L13" s="33">
        <v>23095.42</v>
      </c>
      <c r="M13" s="29">
        <v>54723.41</v>
      </c>
      <c r="N13" s="34">
        <f t="shared" si="0"/>
        <v>388961.16000000003</v>
      </c>
    </row>
    <row r="14" spans="1:16" x14ac:dyDescent="0.2">
      <c r="A14" s="32" t="s">
        <v>41</v>
      </c>
      <c r="B14" s="33">
        <v>92.18</v>
      </c>
      <c r="C14" s="33">
        <v>0</v>
      </c>
      <c r="D14" s="33">
        <v>0</v>
      </c>
      <c r="E14" s="33">
        <v>135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4485.9799999999996</v>
      </c>
      <c r="M14" s="29">
        <v>44260.76</v>
      </c>
      <c r="N14" s="34">
        <f t="shared" si="0"/>
        <v>48973.919999999998</v>
      </c>
    </row>
    <row r="15" spans="1:16" x14ac:dyDescent="0.2">
      <c r="A15" s="32" t="s">
        <v>42</v>
      </c>
      <c r="B15" s="33">
        <v>0</v>
      </c>
      <c r="C15" s="33">
        <v>0</v>
      </c>
      <c r="D15" s="33">
        <v>0</v>
      </c>
      <c r="E15" s="33"/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29">
        <v>0</v>
      </c>
      <c r="N15" s="34">
        <f t="shared" si="0"/>
        <v>0</v>
      </c>
    </row>
    <row r="16" spans="1:16" x14ac:dyDescent="0.2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29"/>
      <c r="N16" s="34">
        <f t="shared" si="0"/>
        <v>0</v>
      </c>
    </row>
    <row r="17" spans="1:14" x14ac:dyDescent="0.2">
      <c r="A17" s="2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29"/>
      <c r="N17" s="34">
        <f t="shared" si="0"/>
        <v>0</v>
      </c>
    </row>
    <row r="18" spans="1:14" x14ac:dyDescent="0.2">
      <c r="A18" s="2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29"/>
      <c r="N18" s="34">
        <f t="shared" si="0"/>
        <v>0</v>
      </c>
    </row>
    <row r="19" spans="1:14" x14ac:dyDescent="0.2">
      <c r="A19" s="39" t="s">
        <v>43</v>
      </c>
      <c r="B19" s="40">
        <f t="shared" ref="B19:L19" si="2">SUM(B13:B18)</f>
        <v>101.71000000000001</v>
      </c>
      <c r="C19" s="40">
        <f t="shared" si="2"/>
        <v>3139.89</v>
      </c>
      <c r="D19" s="40">
        <f t="shared" si="2"/>
        <v>26310.52</v>
      </c>
      <c r="E19" s="40">
        <f t="shared" si="2"/>
        <v>74315.539999999994</v>
      </c>
      <c r="F19" s="40">
        <f t="shared" si="2"/>
        <v>35728.089999999997</v>
      </c>
      <c r="G19" s="40">
        <f t="shared" si="2"/>
        <v>40305.49</v>
      </c>
      <c r="H19" s="40">
        <f t="shared" si="2"/>
        <v>19941.28</v>
      </c>
      <c r="I19" s="40">
        <f t="shared" si="2"/>
        <v>44335.11</v>
      </c>
      <c r="J19" s="40">
        <f t="shared" si="2"/>
        <v>34386.81</v>
      </c>
      <c r="K19" s="40">
        <f t="shared" si="2"/>
        <v>32805.07</v>
      </c>
      <c r="L19" s="40">
        <f t="shared" si="2"/>
        <v>27581.399999999998</v>
      </c>
      <c r="M19" s="36">
        <f>SUM(M13:M18)</f>
        <v>98984.170000000013</v>
      </c>
      <c r="N19" s="34">
        <f t="shared" si="0"/>
        <v>437935.08000000007</v>
      </c>
    </row>
    <row r="20" spans="1:14" x14ac:dyDescent="0.2">
      <c r="A20" s="44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0"/>
      <c r="N20" s="34">
        <f t="shared" si="0"/>
        <v>0</v>
      </c>
    </row>
    <row r="21" spans="1:14" x14ac:dyDescent="0.2">
      <c r="A21" s="39" t="s">
        <v>44</v>
      </c>
      <c r="B21" s="40">
        <f t="shared" ref="B21:L21" si="3">B10-B19</f>
        <v>7787.92</v>
      </c>
      <c r="C21" s="40">
        <f t="shared" si="3"/>
        <v>8078.4600000000009</v>
      </c>
      <c r="D21" s="40">
        <f t="shared" si="3"/>
        <v>41510.47</v>
      </c>
      <c r="E21" s="40">
        <f t="shared" si="3"/>
        <v>52445.100000000006</v>
      </c>
      <c r="F21" s="40">
        <f t="shared" si="3"/>
        <v>26715.820000000007</v>
      </c>
      <c r="G21" s="40">
        <f t="shared" si="3"/>
        <v>17497.480000000003</v>
      </c>
      <c r="H21" s="40">
        <f t="shared" si="3"/>
        <v>24138.440000000002</v>
      </c>
      <c r="I21" s="40">
        <f t="shared" si="3"/>
        <v>49794.5</v>
      </c>
      <c r="J21" s="40">
        <f t="shared" si="3"/>
        <v>19781.679999999993</v>
      </c>
      <c r="K21" s="40">
        <f t="shared" si="3"/>
        <v>84994.079999999987</v>
      </c>
      <c r="L21" s="40">
        <f t="shared" si="3"/>
        <v>19974.250000000004</v>
      </c>
      <c r="M21" s="36">
        <f>M10-M19</f>
        <v>50984.380000000005</v>
      </c>
      <c r="N21" s="34">
        <f t="shared" si="0"/>
        <v>403702.58</v>
      </c>
    </row>
    <row r="22" spans="1:14" x14ac:dyDescent="0.2">
      <c r="A22" s="32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0"/>
      <c r="N22" s="34">
        <f t="shared" si="0"/>
        <v>0</v>
      </c>
    </row>
    <row r="23" spans="1:14" x14ac:dyDescent="0.2">
      <c r="A23" s="27" t="s">
        <v>45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54"/>
      <c r="N23" s="34">
        <f t="shared" si="0"/>
        <v>0</v>
      </c>
    </row>
    <row r="24" spans="1:14" x14ac:dyDescent="0.2">
      <c r="A24" s="55" t="s">
        <v>46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29"/>
      <c r="N24" s="34">
        <f t="shared" si="0"/>
        <v>0</v>
      </c>
    </row>
    <row r="25" spans="1:14" x14ac:dyDescent="0.2">
      <c r="A25" s="32" t="s">
        <v>47</v>
      </c>
      <c r="B25" s="33">
        <v>4458.62</v>
      </c>
      <c r="C25" s="33">
        <v>3703.22</v>
      </c>
      <c r="D25" s="33">
        <v>4257.42</v>
      </c>
      <c r="E25" s="33">
        <v>4510.76</v>
      </c>
      <c r="F25" s="33">
        <v>5569.87</v>
      </c>
      <c r="G25" s="33">
        <v>4775.8100000000004</v>
      </c>
      <c r="H25" s="33">
        <v>5120.95</v>
      </c>
      <c r="I25" s="33">
        <v>4495.91</v>
      </c>
      <c r="J25" s="33">
        <v>4523.8</v>
      </c>
      <c r="K25" s="33">
        <v>4817.76</v>
      </c>
      <c r="L25" s="33">
        <v>4324.1400000000003</v>
      </c>
      <c r="M25" s="29">
        <v>4419.1400000000003</v>
      </c>
      <c r="N25" s="34">
        <f t="shared" si="0"/>
        <v>54977.4</v>
      </c>
    </row>
    <row r="26" spans="1:14" x14ac:dyDescent="0.2">
      <c r="A26" s="68" t="s">
        <v>48</v>
      </c>
      <c r="B26" s="33">
        <v>0</v>
      </c>
      <c r="C26" s="33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29">
        <v>0</v>
      </c>
      <c r="N26" s="34">
        <f t="shared" si="0"/>
        <v>0</v>
      </c>
    </row>
    <row r="27" spans="1:14" x14ac:dyDescent="0.2">
      <c r="A27" s="32" t="s">
        <v>49</v>
      </c>
      <c r="B27" s="33">
        <v>996.5</v>
      </c>
      <c r="C27" s="33">
        <v>1093.5</v>
      </c>
      <c r="D27" s="33">
        <v>1531.58</v>
      </c>
      <c r="E27" s="33">
        <v>1383.25</v>
      </c>
      <c r="F27" s="33">
        <v>1213.9100000000001</v>
      </c>
      <c r="G27" s="33">
        <v>731.5</v>
      </c>
      <c r="H27" s="33">
        <v>1343</v>
      </c>
      <c r="I27" s="33">
        <v>1225.45</v>
      </c>
      <c r="J27" s="33">
        <v>670</v>
      </c>
      <c r="K27" s="33">
        <v>759.85</v>
      </c>
      <c r="L27" s="33">
        <v>703</v>
      </c>
      <c r="M27" s="29">
        <v>580.75</v>
      </c>
      <c r="N27" s="34">
        <f t="shared" si="0"/>
        <v>12232.29</v>
      </c>
    </row>
    <row r="28" spans="1:14" x14ac:dyDescent="0.2">
      <c r="A28" s="32" t="s">
        <v>50</v>
      </c>
      <c r="B28" s="33">
        <v>208.24</v>
      </c>
      <c r="C28" s="33">
        <v>207.99</v>
      </c>
      <c r="D28" s="33">
        <v>207.81</v>
      </c>
      <c r="E28" s="33">
        <v>209.02</v>
      </c>
      <c r="F28" s="33">
        <v>135.16999999999999</v>
      </c>
      <c r="G28" s="33">
        <v>208.23</v>
      </c>
      <c r="H28" s="33">
        <v>208.01</v>
      </c>
      <c r="I28" s="33">
        <v>261.08999999999997</v>
      </c>
      <c r="J28" s="33">
        <v>199.2</v>
      </c>
      <c r="K28" s="33">
        <v>199.14</v>
      </c>
      <c r="L28" s="33">
        <v>167.29</v>
      </c>
      <c r="M28" s="29">
        <v>312.68</v>
      </c>
      <c r="N28" s="34">
        <f t="shared" si="0"/>
        <v>2523.8699999999994</v>
      </c>
    </row>
    <row r="29" spans="1:14" x14ac:dyDescent="0.2">
      <c r="A29" s="35" t="s">
        <v>51</v>
      </c>
      <c r="B29" s="33">
        <v>269.35000000000002</v>
      </c>
      <c r="C29" s="33">
        <v>784.7</v>
      </c>
      <c r="D29" s="33">
        <v>9658.11</v>
      </c>
      <c r="E29" s="33">
        <v>2146.62</v>
      </c>
      <c r="F29" s="33">
        <v>1698.47</v>
      </c>
      <c r="G29" s="33">
        <v>278.57</v>
      </c>
      <c r="H29" s="33">
        <v>524.88</v>
      </c>
      <c r="I29" s="33">
        <v>1462.21</v>
      </c>
      <c r="J29" s="33">
        <v>466.87</v>
      </c>
      <c r="K29" s="33">
        <v>249.5</v>
      </c>
      <c r="L29" s="33">
        <v>393.61</v>
      </c>
      <c r="M29" s="29">
        <v>1525.58</v>
      </c>
      <c r="N29" s="34">
        <f t="shared" si="0"/>
        <v>19458.469999999994</v>
      </c>
    </row>
    <row r="30" spans="1:14" x14ac:dyDescent="0.2">
      <c r="A30" s="32" t="s">
        <v>52</v>
      </c>
      <c r="B30" s="33">
        <v>6.55</v>
      </c>
      <c r="C30" s="33">
        <v>245.38</v>
      </c>
      <c r="D30" s="33">
        <v>69.27</v>
      </c>
      <c r="E30" s="33">
        <v>658.52</v>
      </c>
      <c r="F30" s="33">
        <v>16.670000000000002</v>
      </c>
      <c r="G30" s="33">
        <v>23.45</v>
      </c>
      <c r="H30" s="33">
        <v>43.22</v>
      </c>
      <c r="I30" s="33">
        <v>30.87</v>
      </c>
      <c r="J30" s="33">
        <v>58.04</v>
      </c>
      <c r="K30" s="33">
        <v>191.03</v>
      </c>
      <c r="L30" s="33">
        <v>50</v>
      </c>
      <c r="M30" s="29">
        <v>58.21</v>
      </c>
      <c r="N30" s="34">
        <f t="shared" si="0"/>
        <v>1451.2099999999998</v>
      </c>
    </row>
    <row r="31" spans="1:14" x14ac:dyDescent="0.2">
      <c r="A31" s="32" t="s">
        <v>53</v>
      </c>
      <c r="B31" s="33">
        <v>0</v>
      </c>
      <c r="C31" s="33">
        <v>0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29">
        <v>0</v>
      </c>
      <c r="N31" s="34">
        <f t="shared" si="0"/>
        <v>0</v>
      </c>
    </row>
    <row r="32" spans="1:14" x14ac:dyDescent="0.2">
      <c r="A32" s="32" t="s">
        <v>54</v>
      </c>
      <c r="B32" s="33">
        <v>0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29">
        <v>0</v>
      </c>
      <c r="N32" s="34">
        <f t="shared" si="0"/>
        <v>0</v>
      </c>
    </row>
    <row r="33" spans="1:14" x14ac:dyDescent="0.2">
      <c r="A33" s="32" t="s">
        <v>55</v>
      </c>
      <c r="B33" s="33">
        <v>0</v>
      </c>
      <c r="C33" s="33">
        <v>0</v>
      </c>
      <c r="D33" s="33">
        <v>0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29">
        <v>0</v>
      </c>
      <c r="N33" s="34">
        <f t="shared" si="0"/>
        <v>0</v>
      </c>
    </row>
    <row r="34" spans="1:14" x14ac:dyDescent="0.2">
      <c r="A34" s="32" t="s">
        <v>56</v>
      </c>
      <c r="B34" s="33">
        <v>0</v>
      </c>
      <c r="C34" s="33">
        <v>126</v>
      </c>
      <c r="D34" s="33">
        <v>421.18</v>
      </c>
      <c r="E34" s="33">
        <v>500</v>
      </c>
      <c r="F34" s="33">
        <v>469.16</v>
      </c>
      <c r="G34" s="33">
        <v>411.98</v>
      </c>
      <c r="H34" s="33">
        <v>384.5</v>
      </c>
      <c r="I34" s="33">
        <v>664.49</v>
      </c>
      <c r="J34" s="33">
        <v>0</v>
      </c>
      <c r="K34" s="33">
        <v>102.37</v>
      </c>
      <c r="L34" s="33">
        <v>0</v>
      </c>
      <c r="M34" s="29">
        <v>0</v>
      </c>
      <c r="N34" s="34">
        <f t="shared" si="0"/>
        <v>3079.6800000000003</v>
      </c>
    </row>
    <row r="35" spans="1:14" x14ac:dyDescent="0.2">
      <c r="A35" s="35" t="s">
        <v>57</v>
      </c>
      <c r="B35" s="33">
        <v>397</v>
      </c>
      <c r="C35" s="33">
        <v>397</v>
      </c>
      <c r="D35" s="33">
        <v>427.67</v>
      </c>
      <c r="E35" s="33">
        <v>478.13</v>
      </c>
      <c r="F35" s="33">
        <v>397</v>
      </c>
      <c r="G35" s="33">
        <v>430</v>
      </c>
      <c r="H35" s="33">
        <v>397</v>
      </c>
      <c r="I35" s="33">
        <v>455.8</v>
      </c>
      <c r="J35" s="33">
        <v>427</v>
      </c>
      <c r="K35" s="33">
        <v>470</v>
      </c>
      <c r="L35" s="33">
        <v>427</v>
      </c>
      <c r="M35" s="29">
        <v>427</v>
      </c>
      <c r="N35" s="34">
        <f t="shared" si="0"/>
        <v>5130.6000000000004</v>
      </c>
    </row>
    <row r="36" spans="1:14" x14ac:dyDescent="0.2">
      <c r="A36" s="32" t="s">
        <v>37</v>
      </c>
      <c r="B36" s="60">
        <v>0</v>
      </c>
      <c r="C36" s="60">
        <v>0</v>
      </c>
      <c r="D36" s="60">
        <v>25.19</v>
      </c>
      <c r="E36" s="60">
        <v>4</v>
      </c>
      <c r="F36" s="60">
        <v>71.989999999999995</v>
      </c>
      <c r="G36" s="60">
        <v>8.36</v>
      </c>
      <c r="H36" s="60">
        <v>0</v>
      </c>
      <c r="I36" s="60">
        <v>0</v>
      </c>
      <c r="J36" s="60">
        <v>69.48</v>
      </c>
      <c r="K36" s="60">
        <v>319</v>
      </c>
      <c r="L36" s="60">
        <v>0</v>
      </c>
      <c r="M36" s="57">
        <v>0</v>
      </c>
      <c r="N36" s="34">
        <f t="shared" si="0"/>
        <v>498.02</v>
      </c>
    </row>
    <row r="37" spans="1:14" x14ac:dyDescent="0.2">
      <c r="A37" s="61" t="s">
        <v>58</v>
      </c>
      <c r="B37" s="33">
        <f t="shared" ref="B37:L37" si="4">SUM(B25:B36)</f>
        <v>6336.26</v>
      </c>
      <c r="C37" s="33">
        <f t="shared" si="4"/>
        <v>6557.7899999999991</v>
      </c>
      <c r="D37" s="33">
        <f t="shared" si="4"/>
        <v>16598.23</v>
      </c>
      <c r="E37" s="33">
        <f t="shared" si="4"/>
        <v>9890.3000000000011</v>
      </c>
      <c r="F37" s="33">
        <f t="shared" si="4"/>
        <v>9572.24</v>
      </c>
      <c r="G37" s="33">
        <f t="shared" si="4"/>
        <v>6867.8999999999987</v>
      </c>
      <c r="H37" s="33">
        <f t="shared" si="4"/>
        <v>8021.56</v>
      </c>
      <c r="I37" s="33">
        <f t="shared" si="4"/>
        <v>8595.82</v>
      </c>
      <c r="J37" s="33">
        <f t="shared" si="4"/>
        <v>6414.3899999999994</v>
      </c>
      <c r="K37" s="33">
        <f t="shared" si="4"/>
        <v>7108.6500000000005</v>
      </c>
      <c r="L37" s="33">
        <f t="shared" si="4"/>
        <v>6065.04</v>
      </c>
      <c r="M37" s="29">
        <f>SUM(M25:M36)</f>
        <v>7323.3600000000006</v>
      </c>
      <c r="N37" s="34">
        <f t="shared" si="0"/>
        <v>99351.54</v>
      </c>
    </row>
    <row r="38" spans="1:14" x14ac:dyDescent="0.2">
      <c r="A38" s="61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29"/>
      <c r="N38" s="34">
        <f t="shared" si="0"/>
        <v>0</v>
      </c>
    </row>
    <row r="39" spans="1:14" x14ac:dyDescent="0.2">
      <c r="A39" s="55" t="s">
        <v>59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29"/>
      <c r="N39" s="34">
        <f t="shared" si="0"/>
        <v>0</v>
      </c>
    </row>
    <row r="40" spans="1:14" x14ac:dyDescent="0.2">
      <c r="A40" s="32" t="s">
        <v>47</v>
      </c>
      <c r="B40" s="33">
        <v>5188.53</v>
      </c>
      <c r="C40" s="33">
        <v>5973.46</v>
      </c>
      <c r="D40" s="33">
        <v>5470.87</v>
      </c>
      <c r="E40" s="33">
        <v>4881.82</v>
      </c>
      <c r="F40" s="33">
        <v>3793.35</v>
      </c>
      <c r="G40" s="33">
        <v>4764.93</v>
      </c>
      <c r="H40" s="33">
        <v>4547.87</v>
      </c>
      <c r="I40" s="33">
        <v>5555.05</v>
      </c>
      <c r="J40" s="33">
        <v>4605.9799999999996</v>
      </c>
      <c r="K40" s="33">
        <v>2611.9499999999998</v>
      </c>
      <c r="L40" s="33">
        <v>1747.64</v>
      </c>
      <c r="M40" s="29">
        <v>1676.11</v>
      </c>
      <c r="N40" s="34">
        <f t="shared" si="0"/>
        <v>50817.56</v>
      </c>
    </row>
    <row r="41" spans="1:14" x14ac:dyDescent="0.2">
      <c r="A41" s="32" t="s">
        <v>49</v>
      </c>
      <c r="B41" s="33">
        <v>707.09</v>
      </c>
      <c r="C41" s="33">
        <v>1016.16</v>
      </c>
      <c r="D41" s="33">
        <v>1150.8800000000001</v>
      </c>
      <c r="E41" s="33">
        <v>872.4</v>
      </c>
      <c r="F41" s="33">
        <v>548.38</v>
      </c>
      <c r="G41" s="33">
        <v>334.75</v>
      </c>
      <c r="H41" s="33">
        <v>674.65</v>
      </c>
      <c r="I41" s="33">
        <v>990.87</v>
      </c>
      <c r="J41" s="33">
        <v>442</v>
      </c>
      <c r="K41" s="33">
        <v>186.5</v>
      </c>
      <c r="L41" s="33">
        <v>54</v>
      </c>
      <c r="M41" s="29">
        <v>0</v>
      </c>
      <c r="N41" s="34">
        <f t="shared" si="0"/>
        <v>6977.6799999999994</v>
      </c>
    </row>
    <row r="42" spans="1:14" x14ac:dyDescent="0.2">
      <c r="A42" s="32" t="s">
        <v>37</v>
      </c>
      <c r="B42" s="33">
        <v>414.09</v>
      </c>
      <c r="C42" s="33">
        <v>471.46</v>
      </c>
      <c r="D42" s="33">
        <v>427.19</v>
      </c>
      <c r="E42" s="33">
        <v>2458.64</v>
      </c>
      <c r="F42" s="33">
        <v>365.69</v>
      </c>
      <c r="G42" s="33">
        <v>516.12</v>
      </c>
      <c r="H42" s="33">
        <v>394.51</v>
      </c>
      <c r="I42" s="33">
        <v>492.82</v>
      </c>
      <c r="J42" s="33">
        <v>-488.43</v>
      </c>
      <c r="K42" s="33">
        <v>1886.16</v>
      </c>
      <c r="L42" s="33">
        <v>309.62</v>
      </c>
      <c r="M42" s="29">
        <v>833.22</v>
      </c>
      <c r="N42" s="34">
        <f t="shared" si="0"/>
        <v>8081.0899999999992</v>
      </c>
    </row>
    <row r="43" spans="1:14" x14ac:dyDescent="0.2">
      <c r="A43" s="32" t="s">
        <v>60</v>
      </c>
      <c r="B43" s="33">
        <v>5156.42</v>
      </c>
      <c r="C43" s="33">
        <v>4950</v>
      </c>
      <c r="D43" s="33">
        <v>8400</v>
      </c>
      <c r="E43" s="33">
        <v>5233</v>
      </c>
      <c r="F43" s="33">
        <v>4412</v>
      </c>
      <c r="G43" s="33">
        <v>4924</v>
      </c>
      <c r="H43" s="33">
        <v>7142.91</v>
      </c>
      <c r="I43" s="33">
        <v>6612.64</v>
      </c>
      <c r="J43" s="33">
        <v>6775</v>
      </c>
      <c r="K43" s="33">
        <v>8319.59</v>
      </c>
      <c r="L43" s="33">
        <v>3900</v>
      </c>
      <c r="M43" s="29">
        <v>4900</v>
      </c>
      <c r="N43" s="34">
        <f t="shared" si="0"/>
        <v>70725.56</v>
      </c>
    </row>
    <row r="44" spans="1:14" x14ac:dyDescent="0.2">
      <c r="A44" s="32" t="s">
        <v>61</v>
      </c>
      <c r="B44" s="33">
        <v>1829.56</v>
      </c>
      <c r="C44" s="33">
        <v>1851</v>
      </c>
      <c r="D44" s="33">
        <v>0</v>
      </c>
      <c r="E44" s="33">
        <v>717.01</v>
      </c>
      <c r="F44" s="33">
        <v>1087</v>
      </c>
      <c r="G44" s="33">
        <v>2125</v>
      </c>
      <c r="H44" s="33">
        <v>3427.93</v>
      </c>
      <c r="I44" s="33">
        <v>17821.689999999999</v>
      </c>
      <c r="J44" s="33">
        <v>328.77</v>
      </c>
      <c r="K44" s="33">
        <v>61845.27</v>
      </c>
      <c r="L44" s="33">
        <v>8710</v>
      </c>
      <c r="M44" s="29">
        <v>8455.1</v>
      </c>
      <c r="N44" s="34">
        <f t="shared" si="0"/>
        <v>108198.33</v>
      </c>
    </row>
    <row r="45" spans="1:14" x14ac:dyDescent="0.2">
      <c r="A45" s="32" t="s">
        <v>62</v>
      </c>
      <c r="B45" s="60">
        <v>1302.19</v>
      </c>
      <c r="C45" s="60">
        <v>2616.61</v>
      </c>
      <c r="D45" s="60">
        <v>2397.25</v>
      </c>
      <c r="E45" s="60">
        <v>384.95</v>
      </c>
      <c r="F45" s="60">
        <v>560</v>
      </c>
      <c r="G45" s="60">
        <v>753.95</v>
      </c>
      <c r="H45" s="60">
        <v>2148.9499999999998</v>
      </c>
      <c r="I45" s="60">
        <v>549.95000000000005</v>
      </c>
      <c r="J45" s="60">
        <v>756.78</v>
      </c>
      <c r="K45" s="60">
        <v>249.95</v>
      </c>
      <c r="L45" s="60">
        <v>60</v>
      </c>
      <c r="M45" s="57">
        <v>1515</v>
      </c>
      <c r="N45" s="34">
        <f t="shared" si="0"/>
        <v>13295.580000000002</v>
      </c>
    </row>
    <row r="46" spans="1:14" x14ac:dyDescent="0.2">
      <c r="A46" s="69" t="s">
        <v>63</v>
      </c>
      <c r="B46" s="33">
        <f t="shared" ref="B46:L46" si="5">SUM(B40:B45)</f>
        <v>14597.880000000001</v>
      </c>
      <c r="C46" s="33">
        <f t="shared" si="5"/>
        <v>16878.689999999999</v>
      </c>
      <c r="D46" s="33">
        <f t="shared" si="5"/>
        <v>17846.189999999999</v>
      </c>
      <c r="E46" s="33">
        <f t="shared" si="5"/>
        <v>14547.82</v>
      </c>
      <c r="F46" s="33">
        <f t="shared" si="5"/>
        <v>10766.419999999998</v>
      </c>
      <c r="G46" s="33">
        <f t="shared" si="5"/>
        <v>13418.75</v>
      </c>
      <c r="H46" s="33">
        <f t="shared" si="5"/>
        <v>18336.82</v>
      </c>
      <c r="I46" s="33">
        <f t="shared" si="5"/>
        <v>32023.02</v>
      </c>
      <c r="J46" s="33">
        <f t="shared" si="5"/>
        <v>12420.1</v>
      </c>
      <c r="K46" s="33">
        <f t="shared" si="5"/>
        <v>75099.42</v>
      </c>
      <c r="L46" s="33">
        <f t="shared" si="5"/>
        <v>14781.26</v>
      </c>
      <c r="M46" s="29">
        <f>SUM(M40:M45)</f>
        <v>17379.43</v>
      </c>
      <c r="N46" s="34">
        <f t="shared" si="0"/>
        <v>258095.8</v>
      </c>
    </row>
    <row r="47" spans="1:14" x14ac:dyDescent="0.2">
      <c r="A47" s="32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29"/>
      <c r="N47" s="34">
        <f t="shared" si="0"/>
        <v>0</v>
      </c>
    </row>
    <row r="48" spans="1:14" x14ac:dyDescent="0.2">
      <c r="A48" s="70" t="s">
        <v>64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29"/>
      <c r="N48" s="34">
        <f t="shared" si="0"/>
        <v>0</v>
      </c>
    </row>
    <row r="49" spans="1:14" x14ac:dyDescent="0.2">
      <c r="A49" s="32" t="s">
        <v>47</v>
      </c>
      <c r="B49" s="33">
        <v>1773.8</v>
      </c>
      <c r="C49" s="33">
        <v>1744.61</v>
      </c>
      <c r="D49" s="33">
        <v>1692.95</v>
      </c>
      <c r="E49" s="33">
        <v>1997.19</v>
      </c>
      <c r="F49" s="33">
        <v>1987.16</v>
      </c>
      <c r="G49" s="33">
        <v>1792.73</v>
      </c>
      <c r="H49" s="33">
        <v>1657.15</v>
      </c>
      <c r="I49" s="33">
        <v>1275.6099999999999</v>
      </c>
      <c r="J49" s="33">
        <v>2196.79</v>
      </c>
      <c r="K49" s="33">
        <v>1888.63</v>
      </c>
      <c r="L49" s="33">
        <v>589.91999999999996</v>
      </c>
      <c r="M49" s="29">
        <v>566.48</v>
      </c>
      <c r="N49" s="34">
        <f t="shared" si="0"/>
        <v>19163.019999999997</v>
      </c>
    </row>
    <row r="50" spans="1:14" x14ac:dyDescent="0.2">
      <c r="A50" s="32" t="s">
        <v>48</v>
      </c>
      <c r="B50" s="33">
        <v>0</v>
      </c>
      <c r="C50" s="33">
        <v>0</v>
      </c>
      <c r="D50" s="33">
        <v>0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0</v>
      </c>
      <c r="L50" s="33">
        <v>0</v>
      </c>
      <c r="M50" s="29">
        <v>0</v>
      </c>
      <c r="N50" s="34">
        <f t="shared" si="0"/>
        <v>0</v>
      </c>
    </row>
    <row r="51" spans="1:14" x14ac:dyDescent="0.2">
      <c r="A51" s="32" t="s">
        <v>49</v>
      </c>
      <c r="B51" s="33">
        <v>12</v>
      </c>
      <c r="C51" s="33">
        <v>12</v>
      </c>
      <c r="D51" s="33">
        <v>0</v>
      </c>
      <c r="E51" s="33">
        <v>6</v>
      </c>
      <c r="F51" s="33">
        <v>0</v>
      </c>
      <c r="G51" s="33">
        <v>0</v>
      </c>
      <c r="H51" s="33">
        <v>6</v>
      </c>
      <c r="I51" s="33">
        <v>44</v>
      </c>
      <c r="J51" s="33">
        <v>31</v>
      </c>
      <c r="K51" s="33">
        <v>0</v>
      </c>
      <c r="L51" s="33">
        <v>0</v>
      </c>
      <c r="M51" s="29">
        <v>0</v>
      </c>
      <c r="N51" s="34">
        <f t="shared" si="0"/>
        <v>111</v>
      </c>
    </row>
    <row r="52" spans="1:14" x14ac:dyDescent="0.2">
      <c r="A52" s="32" t="s">
        <v>50</v>
      </c>
      <c r="B52" s="33">
        <v>212.92</v>
      </c>
      <c r="C52" s="33">
        <v>130.22999999999999</v>
      </c>
      <c r="D52" s="33">
        <v>177.76</v>
      </c>
      <c r="E52" s="33">
        <v>183.25</v>
      </c>
      <c r="F52" s="33">
        <v>110.75</v>
      </c>
      <c r="G52" s="33">
        <v>141.78</v>
      </c>
      <c r="H52" s="33">
        <v>138.84</v>
      </c>
      <c r="I52" s="33">
        <v>187.16</v>
      </c>
      <c r="J52" s="33">
        <v>116.01</v>
      </c>
      <c r="K52" s="33">
        <v>116.86</v>
      </c>
      <c r="L52" s="33">
        <v>67.150000000000006</v>
      </c>
      <c r="M52" s="29">
        <v>129</v>
      </c>
      <c r="N52" s="34">
        <f t="shared" si="0"/>
        <v>1711.71</v>
      </c>
    </row>
    <row r="53" spans="1:14" x14ac:dyDescent="0.2">
      <c r="A53" s="32" t="s">
        <v>57</v>
      </c>
      <c r="B53" s="33">
        <v>0</v>
      </c>
      <c r="C53" s="33">
        <v>0</v>
      </c>
      <c r="D53" s="33">
        <v>30.67</v>
      </c>
      <c r="E53" s="33">
        <v>81.13</v>
      </c>
      <c r="F53" s="33">
        <v>0</v>
      </c>
      <c r="G53" s="33">
        <v>33</v>
      </c>
      <c r="H53" s="33">
        <v>0</v>
      </c>
      <c r="I53" s="33">
        <v>14.44</v>
      </c>
      <c r="J53" s="33">
        <v>0</v>
      </c>
      <c r="K53" s="33">
        <v>14.44</v>
      </c>
      <c r="L53" s="33">
        <v>0</v>
      </c>
      <c r="M53" s="29">
        <v>0</v>
      </c>
      <c r="N53" s="34">
        <f t="shared" si="0"/>
        <v>173.68</v>
      </c>
    </row>
    <row r="54" spans="1:14" x14ac:dyDescent="0.2">
      <c r="A54" s="32" t="s">
        <v>65</v>
      </c>
      <c r="B54" s="33">
        <v>256.49</v>
      </c>
      <c r="C54" s="33">
        <v>256.49</v>
      </c>
      <c r="D54" s="33">
        <v>256.49</v>
      </c>
      <c r="E54" s="33">
        <v>256.49</v>
      </c>
      <c r="F54" s="33">
        <v>256.49</v>
      </c>
      <c r="G54" s="33">
        <v>256.49</v>
      </c>
      <c r="H54" s="33">
        <v>256.49</v>
      </c>
      <c r="I54" s="33">
        <v>256.49</v>
      </c>
      <c r="J54" s="33">
        <v>256.49</v>
      </c>
      <c r="K54" s="33">
        <v>256.49</v>
      </c>
      <c r="L54" s="33">
        <v>256.49</v>
      </c>
      <c r="M54" s="29">
        <v>256.49</v>
      </c>
      <c r="N54" s="34">
        <f t="shared" si="0"/>
        <v>3077.8799999999992</v>
      </c>
    </row>
    <row r="55" spans="1:14" x14ac:dyDescent="0.2">
      <c r="A55" s="32" t="s">
        <v>66</v>
      </c>
      <c r="B55" s="33">
        <v>0</v>
      </c>
      <c r="C55" s="33">
        <v>45.77</v>
      </c>
      <c r="D55" s="33">
        <v>4.8</v>
      </c>
      <c r="E55" s="33">
        <v>15.4</v>
      </c>
      <c r="F55" s="33">
        <v>21.56</v>
      </c>
      <c r="G55" s="33">
        <v>3.47</v>
      </c>
      <c r="H55" s="33">
        <v>16.670000000000002</v>
      </c>
      <c r="I55" s="33">
        <v>20.420000000000002</v>
      </c>
      <c r="J55" s="33">
        <v>33.340000000000003</v>
      </c>
      <c r="K55" s="33">
        <v>33</v>
      </c>
      <c r="L55" s="33">
        <v>0</v>
      </c>
      <c r="M55" s="29">
        <v>0</v>
      </c>
      <c r="N55" s="34">
        <f t="shared" si="0"/>
        <v>194.43</v>
      </c>
    </row>
    <row r="56" spans="1:14" x14ac:dyDescent="0.2">
      <c r="A56" s="32" t="s">
        <v>67</v>
      </c>
      <c r="B56" s="33">
        <v>0</v>
      </c>
      <c r="C56" s="33">
        <v>0</v>
      </c>
      <c r="D56" s="33">
        <v>0</v>
      </c>
      <c r="E56" s="33">
        <v>0</v>
      </c>
      <c r="F56" s="33">
        <v>1950</v>
      </c>
      <c r="G56" s="33">
        <v>2275</v>
      </c>
      <c r="H56" s="33">
        <v>0</v>
      </c>
      <c r="I56" s="33">
        <v>0</v>
      </c>
      <c r="J56" s="33">
        <v>250</v>
      </c>
      <c r="K56" s="33">
        <v>0</v>
      </c>
      <c r="L56" s="33">
        <v>0</v>
      </c>
      <c r="M56" s="29">
        <v>0</v>
      </c>
      <c r="N56" s="34">
        <f t="shared" si="0"/>
        <v>4475</v>
      </c>
    </row>
    <row r="57" spans="1:14" x14ac:dyDescent="0.2">
      <c r="A57" s="32" t="s">
        <v>68</v>
      </c>
      <c r="B57" s="33">
        <v>121.75</v>
      </c>
      <c r="C57" s="33">
        <v>111.76</v>
      </c>
      <c r="D57" s="33">
        <v>48.51</v>
      </c>
      <c r="E57" s="33">
        <v>252.24</v>
      </c>
      <c r="F57" s="33">
        <v>323.27999999999997</v>
      </c>
      <c r="G57" s="33">
        <v>0</v>
      </c>
      <c r="H57" s="33">
        <v>57.87</v>
      </c>
      <c r="I57" s="33">
        <v>39.950000000000003</v>
      </c>
      <c r="J57" s="33">
        <v>22.5</v>
      </c>
      <c r="K57" s="33">
        <v>50.61</v>
      </c>
      <c r="L57" s="33">
        <v>0</v>
      </c>
      <c r="M57" s="29">
        <v>24.33</v>
      </c>
      <c r="N57" s="34">
        <f t="shared" si="0"/>
        <v>1052.8</v>
      </c>
    </row>
    <row r="58" spans="1:14" x14ac:dyDescent="0.2">
      <c r="A58" s="32" t="s">
        <v>37</v>
      </c>
      <c r="B58" s="60">
        <v>-946.86</v>
      </c>
      <c r="C58" s="60">
        <v>1071.58</v>
      </c>
      <c r="D58" s="60">
        <v>197.95</v>
      </c>
      <c r="E58" s="60">
        <v>-850.35</v>
      </c>
      <c r="F58" s="60">
        <v>-26.48</v>
      </c>
      <c r="G58" s="60">
        <v>-378.44</v>
      </c>
      <c r="H58" s="60">
        <v>319.35000000000002</v>
      </c>
      <c r="I58" s="60">
        <v>-63.4</v>
      </c>
      <c r="J58" s="60">
        <v>163.95</v>
      </c>
      <c r="K58" s="60">
        <v>915.21</v>
      </c>
      <c r="L58" s="60">
        <v>614.35</v>
      </c>
      <c r="M58" s="57">
        <v>960.73</v>
      </c>
      <c r="N58" s="34">
        <f t="shared" si="0"/>
        <v>1977.5900000000001</v>
      </c>
    </row>
    <row r="59" spans="1:14" x14ac:dyDescent="0.2">
      <c r="A59" s="71" t="s">
        <v>63</v>
      </c>
      <c r="B59" s="33">
        <f t="shared" ref="B59:L59" si="6">SUM(B49:B58)</f>
        <v>1430.1</v>
      </c>
      <c r="C59" s="33">
        <f t="shared" si="6"/>
        <v>3372.44</v>
      </c>
      <c r="D59" s="33">
        <f t="shared" si="6"/>
        <v>2409.13</v>
      </c>
      <c r="E59" s="33">
        <f t="shared" si="6"/>
        <v>1941.3500000000008</v>
      </c>
      <c r="F59" s="33">
        <f t="shared" si="6"/>
        <v>4622.7599999999993</v>
      </c>
      <c r="G59" s="33">
        <f t="shared" si="6"/>
        <v>4124.03</v>
      </c>
      <c r="H59" s="33">
        <f t="shared" si="6"/>
        <v>2452.37</v>
      </c>
      <c r="I59" s="33">
        <f t="shared" si="6"/>
        <v>1774.67</v>
      </c>
      <c r="J59" s="33">
        <f t="shared" si="6"/>
        <v>3070.08</v>
      </c>
      <c r="K59" s="33">
        <f t="shared" si="6"/>
        <v>3275.2400000000002</v>
      </c>
      <c r="L59" s="33">
        <f t="shared" si="6"/>
        <v>1527.9099999999999</v>
      </c>
      <c r="M59" s="29">
        <f>SUM(M49:M58)</f>
        <v>1937.0300000000002</v>
      </c>
      <c r="N59" s="34">
        <f t="shared" si="0"/>
        <v>31937.11</v>
      </c>
    </row>
    <row r="60" spans="1:14" x14ac:dyDescent="0.2">
      <c r="A60" s="71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29"/>
      <c r="N60" s="34"/>
    </row>
    <row r="61" spans="1:14" x14ac:dyDescent="0.2">
      <c r="A61" s="73" t="s">
        <v>69</v>
      </c>
      <c r="B61" s="40">
        <f t="shared" ref="B61:L61" si="7">B59+B46+B37</f>
        <v>22364.240000000002</v>
      </c>
      <c r="C61" s="40">
        <f t="shared" si="7"/>
        <v>26808.92</v>
      </c>
      <c r="D61" s="40">
        <f t="shared" si="7"/>
        <v>36853.550000000003</v>
      </c>
      <c r="E61" s="40">
        <f t="shared" si="7"/>
        <v>26379.47</v>
      </c>
      <c r="F61" s="40">
        <f t="shared" si="7"/>
        <v>24961.42</v>
      </c>
      <c r="G61" s="40">
        <f t="shared" si="7"/>
        <v>24410.679999999997</v>
      </c>
      <c r="H61" s="40">
        <f t="shared" si="7"/>
        <v>28810.75</v>
      </c>
      <c r="I61" s="40">
        <f t="shared" si="7"/>
        <v>42393.51</v>
      </c>
      <c r="J61" s="40">
        <f t="shared" si="7"/>
        <v>21904.57</v>
      </c>
      <c r="K61" s="40">
        <f t="shared" si="7"/>
        <v>85483.31</v>
      </c>
      <c r="L61" s="40">
        <f t="shared" si="7"/>
        <v>22374.21</v>
      </c>
      <c r="M61" s="36">
        <f>M59+M46+M37</f>
        <v>26639.82</v>
      </c>
      <c r="N61" s="34">
        <f t="shared" si="0"/>
        <v>389384.45000000007</v>
      </c>
    </row>
    <row r="62" spans="1:14" x14ac:dyDescent="0.2"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0"/>
      <c r="N62" s="34">
        <f t="shared" si="0"/>
        <v>0</v>
      </c>
    </row>
    <row r="63" spans="1:14" x14ac:dyDescent="0.2">
      <c r="A63" s="72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54"/>
      <c r="N63" s="34">
        <f t="shared" si="0"/>
        <v>0</v>
      </c>
    </row>
    <row r="64" spans="1:14" ht="16" thickBot="1" x14ac:dyDescent="0.25">
      <c r="A64" s="65" t="s">
        <v>70</v>
      </c>
      <c r="B64" s="62">
        <f t="shared" ref="B64:L64" si="8">B21-B61</f>
        <v>-14576.320000000002</v>
      </c>
      <c r="C64" s="62">
        <f t="shared" si="8"/>
        <v>-18730.46</v>
      </c>
      <c r="D64" s="62">
        <f t="shared" si="8"/>
        <v>4656.9199999999983</v>
      </c>
      <c r="E64" s="62">
        <f t="shared" si="8"/>
        <v>26065.630000000005</v>
      </c>
      <c r="F64" s="62">
        <f t="shared" si="8"/>
        <v>1754.4000000000087</v>
      </c>
      <c r="G64" s="62">
        <f t="shared" si="8"/>
        <v>-6913.1999999999935</v>
      </c>
      <c r="H64" s="62">
        <f t="shared" si="8"/>
        <v>-4672.3099999999977</v>
      </c>
      <c r="I64" s="62">
        <f t="shared" si="8"/>
        <v>7400.989999999998</v>
      </c>
      <c r="J64" s="62">
        <f t="shared" si="8"/>
        <v>-2122.8900000000067</v>
      </c>
      <c r="K64" s="62">
        <f t="shared" si="8"/>
        <v>-489.23000000001048</v>
      </c>
      <c r="L64" s="62">
        <f t="shared" si="8"/>
        <v>-2399.9599999999955</v>
      </c>
      <c r="M64" s="62">
        <f>M21-M61</f>
        <v>24344.560000000005</v>
      </c>
      <c r="N64" s="74">
        <f>SUM(N21-N61)</f>
        <v>14318.129999999946</v>
      </c>
    </row>
    <row r="65" ht="16" thickTop="1" x14ac:dyDescent="0.2"/>
  </sheetData>
  <pageMargins left="0.7" right="0.7" top="0.75" bottom="0.75" header="0.3" footer="0.3"/>
  <pageSetup orientation="portrait" horizontalDpi="4294967293" verticalDpi="4294967293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5DE29-4EA2-904D-BBE0-55A6099C9F13}">
  <sheetPr>
    <pageSetUpPr fitToPage="1"/>
  </sheetPr>
  <dimension ref="A1:L71"/>
  <sheetViews>
    <sheetView topLeftCell="A8" zoomScaleNormal="100" workbookViewId="0">
      <selection activeCell="J21" sqref="J21"/>
    </sheetView>
  </sheetViews>
  <sheetFormatPr baseColWidth="10" defaultColWidth="9.1640625" defaultRowHeight="15" x14ac:dyDescent="0.2"/>
  <cols>
    <col min="1" max="3" width="12.6640625" style="18" customWidth="1"/>
    <col min="4" max="4" width="31.6640625" style="18" customWidth="1"/>
    <col min="5" max="7" width="12.6640625" style="18" customWidth="1"/>
    <col min="8" max="9" width="9.1640625" style="18"/>
    <col min="10" max="10" width="10.5" style="18" bestFit="1" customWidth="1"/>
    <col min="11" max="16384" width="9.1640625" style="18"/>
  </cols>
  <sheetData>
    <row r="1" spans="1:12" x14ac:dyDescent="0.2">
      <c r="A1" s="124" t="s">
        <v>23</v>
      </c>
      <c r="B1" s="124"/>
      <c r="C1" s="124"/>
      <c r="D1" s="124"/>
      <c r="E1" s="124"/>
      <c r="F1" s="124"/>
      <c r="G1" s="124"/>
    </row>
    <row r="2" spans="1:12" x14ac:dyDescent="0.2">
      <c r="A2" s="124" t="s">
        <v>24</v>
      </c>
      <c r="B2" s="124"/>
      <c r="C2" s="124"/>
      <c r="D2" s="124"/>
      <c r="E2" s="124"/>
      <c r="F2" s="124"/>
      <c r="G2" s="124"/>
    </row>
    <row r="3" spans="1:12" x14ac:dyDescent="0.2">
      <c r="A3" s="125">
        <v>43100</v>
      </c>
      <c r="B3" s="125"/>
      <c r="C3" s="125"/>
      <c r="D3" s="125"/>
      <c r="E3" s="125"/>
      <c r="F3" s="125"/>
      <c r="G3" s="125"/>
    </row>
    <row r="6" spans="1:12" x14ac:dyDescent="0.2">
      <c r="A6" s="126" t="s">
        <v>25</v>
      </c>
      <c r="B6" s="127"/>
      <c r="C6" s="128"/>
      <c r="D6" s="19">
        <v>43100</v>
      </c>
      <c r="E6" s="129" t="s">
        <v>26</v>
      </c>
      <c r="F6" s="127"/>
      <c r="G6" s="128"/>
    </row>
    <row r="7" spans="1:12" x14ac:dyDescent="0.2">
      <c r="A7" s="20" t="s">
        <v>27</v>
      </c>
      <c r="B7" s="21" t="s">
        <v>28</v>
      </c>
      <c r="C7" s="22" t="s">
        <v>29</v>
      </c>
      <c r="D7" s="23"/>
      <c r="E7" s="24" t="s">
        <v>27</v>
      </c>
      <c r="F7" s="21" t="s">
        <v>28</v>
      </c>
      <c r="G7" s="22" t="s">
        <v>29</v>
      </c>
    </row>
    <row r="8" spans="1:12" x14ac:dyDescent="0.2">
      <c r="A8" s="25"/>
      <c r="C8" s="26"/>
      <c r="D8" s="27" t="s">
        <v>30</v>
      </c>
      <c r="E8" s="28"/>
      <c r="G8" s="26"/>
    </row>
    <row r="9" spans="1:12" x14ac:dyDescent="0.2">
      <c r="A9" s="33">
        <v>76098.2</v>
      </c>
      <c r="B9" s="77">
        <v>32500</v>
      </c>
      <c r="C9" s="78">
        <f t="shared" ref="C9:C15" si="0">A9-B9</f>
        <v>43598.2</v>
      </c>
      <c r="D9" s="32" t="s">
        <v>31</v>
      </c>
      <c r="E9" s="33">
        <v>492603</v>
      </c>
      <c r="F9" s="77">
        <v>442500</v>
      </c>
      <c r="G9" s="78">
        <f t="shared" ref="G9:G15" si="1">E9-F9</f>
        <v>50103</v>
      </c>
      <c r="H9" s="34"/>
    </row>
    <row r="10" spans="1:12" x14ac:dyDescent="0.2">
      <c r="A10" s="33">
        <v>21471.25</v>
      </c>
      <c r="B10" s="77">
        <v>3000</v>
      </c>
      <c r="C10" s="78">
        <f t="shared" si="0"/>
        <v>18471.25</v>
      </c>
      <c r="D10" s="32" t="s">
        <v>32</v>
      </c>
      <c r="E10" s="33">
        <v>30908</v>
      </c>
      <c r="F10" s="77">
        <v>21040</v>
      </c>
      <c r="G10" s="78">
        <f t="shared" si="1"/>
        <v>9868</v>
      </c>
      <c r="H10" s="34"/>
    </row>
    <row r="11" spans="1:12" x14ac:dyDescent="0.2">
      <c r="A11" s="33">
        <v>1025</v>
      </c>
      <c r="B11" s="77">
        <v>250</v>
      </c>
      <c r="C11" s="78">
        <f t="shared" si="0"/>
        <v>775</v>
      </c>
      <c r="D11" s="32" t="s">
        <v>33</v>
      </c>
      <c r="E11" s="33">
        <v>8495</v>
      </c>
      <c r="F11" s="77">
        <v>5485</v>
      </c>
      <c r="G11" s="78">
        <f t="shared" si="1"/>
        <v>3010</v>
      </c>
      <c r="H11" s="34"/>
    </row>
    <row r="12" spans="1:12" x14ac:dyDescent="0.2">
      <c r="A12" s="33">
        <v>0</v>
      </c>
      <c r="B12" s="77">
        <v>0</v>
      </c>
      <c r="C12" s="78">
        <f t="shared" si="0"/>
        <v>0</v>
      </c>
      <c r="D12" s="32" t="s">
        <v>34</v>
      </c>
      <c r="E12" s="33">
        <v>6000</v>
      </c>
      <c r="F12" s="77">
        <v>6000</v>
      </c>
      <c r="G12" s="78">
        <f t="shared" si="1"/>
        <v>0</v>
      </c>
      <c r="H12" s="34"/>
      <c r="L12" s="34"/>
    </row>
    <row r="13" spans="1:12" x14ac:dyDescent="0.2">
      <c r="A13" s="33">
        <v>2860</v>
      </c>
      <c r="B13" s="77">
        <v>3900</v>
      </c>
      <c r="C13" s="78">
        <f t="shared" si="0"/>
        <v>-1040</v>
      </c>
      <c r="D13" s="32" t="s">
        <v>35</v>
      </c>
      <c r="E13" s="33">
        <v>35791</v>
      </c>
      <c r="F13" s="77">
        <v>53200</v>
      </c>
      <c r="G13" s="78">
        <f t="shared" si="1"/>
        <v>-17409</v>
      </c>
      <c r="H13" s="34"/>
    </row>
    <row r="14" spans="1:12" x14ac:dyDescent="0.2">
      <c r="A14" s="33">
        <v>2500</v>
      </c>
      <c r="B14" s="77">
        <v>5700</v>
      </c>
      <c r="C14" s="78">
        <f t="shared" si="0"/>
        <v>-3200</v>
      </c>
      <c r="D14" s="32" t="s">
        <v>36</v>
      </c>
      <c r="E14" s="33">
        <v>82205</v>
      </c>
      <c r="F14" s="77">
        <v>83925</v>
      </c>
      <c r="G14" s="78">
        <f t="shared" si="1"/>
        <v>-1720</v>
      </c>
      <c r="H14" s="34"/>
    </row>
    <row r="15" spans="1:12" x14ac:dyDescent="0.2">
      <c r="A15" s="33">
        <v>500</v>
      </c>
      <c r="B15" s="77">
        <v>200</v>
      </c>
      <c r="C15" s="78">
        <f t="shared" si="0"/>
        <v>300</v>
      </c>
      <c r="D15" s="35" t="s">
        <v>37</v>
      </c>
      <c r="E15" s="33">
        <v>9997</v>
      </c>
      <c r="F15" s="77">
        <v>2400</v>
      </c>
      <c r="G15" s="78">
        <f t="shared" si="1"/>
        <v>7597</v>
      </c>
      <c r="H15" s="34"/>
    </row>
    <row r="16" spans="1:12" x14ac:dyDescent="0.2">
      <c r="A16" s="33"/>
      <c r="B16" s="77"/>
      <c r="C16" s="78"/>
      <c r="D16" s="35"/>
      <c r="E16" s="33"/>
      <c r="F16" s="77"/>
      <c r="G16" s="78"/>
      <c r="H16" s="34"/>
    </row>
    <row r="17" spans="1:10" x14ac:dyDescent="0.2">
      <c r="A17" s="40">
        <f>SUM(A9:A16)</f>
        <v>104454.45</v>
      </c>
      <c r="B17" s="79">
        <f>SUM(B9:B16)</f>
        <v>45550</v>
      </c>
      <c r="C17" s="80">
        <f>SUM(C9:C16)</f>
        <v>58904.45</v>
      </c>
      <c r="D17" s="39" t="s">
        <v>38</v>
      </c>
      <c r="E17" s="40">
        <f>SUM(E9:E16)</f>
        <v>665999</v>
      </c>
      <c r="F17" s="79">
        <f>SUM(F9:F16)</f>
        <v>614550</v>
      </c>
      <c r="G17" s="80">
        <f>SUM(G9:G16)</f>
        <v>51449</v>
      </c>
      <c r="H17" s="34"/>
    </row>
    <row r="18" spans="1:10" x14ac:dyDescent="0.2">
      <c r="A18" s="45"/>
      <c r="B18" s="81"/>
      <c r="C18" s="82"/>
      <c r="D18" s="44"/>
      <c r="E18" s="45"/>
      <c r="F18" s="81"/>
      <c r="G18" s="82"/>
      <c r="H18" s="34"/>
    </row>
    <row r="19" spans="1:10" x14ac:dyDescent="0.2">
      <c r="A19" s="47"/>
      <c r="B19" s="83"/>
      <c r="C19" s="84"/>
      <c r="D19" s="27" t="s">
        <v>39</v>
      </c>
      <c r="E19" s="47"/>
      <c r="F19" s="83"/>
      <c r="G19" s="84"/>
      <c r="H19" s="34"/>
      <c r="J19" s="18" t="s">
        <v>94</v>
      </c>
    </row>
    <row r="20" spans="1:10" x14ac:dyDescent="0.2">
      <c r="A20" s="33">
        <v>59582.17</v>
      </c>
      <c r="B20" s="77">
        <v>19500</v>
      </c>
      <c r="C20" s="78">
        <f>SUM(A20-B20)</f>
        <v>40082.17</v>
      </c>
      <c r="D20" s="32" t="s">
        <v>40</v>
      </c>
      <c r="E20" s="33">
        <v>328025</v>
      </c>
      <c r="F20" s="77">
        <v>265500</v>
      </c>
      <c r="G20" s="78">
        <f>SUM(E20-F20)</f>
        <v>62525</v>
      </c>
      <c r="H20" s="34"/>
      <c r="J20" s="77">
        <f>E28-E13-E14</f>
        <v>218866</v>
      </c>
    </row>
    <row r="21" spans="1:10" x14ac:dyDescent="0.2">
      <c r="A21" s="33">
        <v>0</v>
      </c>
      <c r="B21" s="77">
        <v>25</v>
      </c>
      <c r="C21" s="78">
        <f>SUM(A21-B21)</f>
        <v>-25</v>
      </c>
      <c r="D21" s="32" t="s">
        <v>41</v>
      </c>
      <c r="E21" s="33">
        <v>1112</v>
      </c>
      <c r="F21" s="77">
        <v>300</v>
      </c>
      <c r="G21" s="78">
        <f>SUM(E21-F21)</f>
        <v>812</v>
      </c>
      <c r="H21" s="34"/>
    </row>
    <row r="22" spans="1:10" x14ac:dyDescent="0.2">
      <c r="A22" s="33">
        <v>0</v>
      </c>
      <c r="B22" s="77">
        <v>0</v>
      </c>
      <c r="C22" s="78">
        <f>SUM(A22-B22)</f>
        <v>0</v>
      </c>
      <c r="D22" s="35" t="s">
        <v>42</v>
      </c>
      <c r="E22" s="33">
        <v>0</v>
      </c>
      <c r="F22" s="77">
        <v>0</v>
      </c>
      <c r="G22" s="78">
        <f>SUM(E22-F22)</f>
        <v>0</v>
      </c>
      <c r="H22" s="34"/>
    </row>
    <row r="23" spans="1:10" x14ac:dyDescent="0.2">
      <c r="A23" s="33"/>
      <c r="B23" s="77"/>
      <c r="C23" s="78"/>
      <c r="D23" s="32"/>
      <c r="E23" s="33"/>
      <c r="F23" s="77"/>
      <c r="G23" s="78"/>
      <c r="H23" s="34"/>
    </row>
    <row r="24" spans="1:10" x14ac:dyDescent="0.2">
      <c r="A24" s="33"/>
      <c r="B24" s="77"/>
      <c r="C24" s="78"/>
      <c r="D24" s="23"/>
      <c r="E24" s="33"/>
      <c r="F24" s="77"/>
      <c r="G24" s="78"/>
      <c r="H24" s="34"/>
    </row>
    <row r="25" spans="1:10" x14ac:dyDescent="0.2">
      <c r="A25" s="33"/>
      <c r="B25" s="77"/>
      <c r="C25" s="85"/>
      <c r="D25" s="23"/>
      <c r="E25" s="33"/>
      <c r="F25" s="77"/>
      <c r="G25" s="78"/>
      <c r="H25" s="34"/>
    </row>
    <row r="26" spans="1:10" x14ac:dyDescent="0.2">
      <c r="A26" s="40">
        <f>SUM(A20:A25)</f>
        <v>59582.17</v>
      </c>
      <c r="B26" s="79">
        <f>SUM(B20:B25)</f>
        <v>19525</v>
      </c>
      <c r="C26" s="80">
        <f>SUM(C20:C25)</f>
        <v>40057.17</v>
      </c>
      <c r="D26" s="39" t="s">
        <v>43</v>
      </c>
      <c r="E26" s="40">
        <f>SUM(E20:E25)</f>
        <v>329137</v>
      </c>
      <c r="F26" s="79">
        <f>SUM(F20:F25)</f>
        <v>265800</v>
      </c>
      <c r="G26" s="80">
        <f>SUM(G20:G25)</f>
        <v>63337</v>
      </c>
      <c r="H26" s="34"/>
    </row>
    <row r="27" spans="1:10" x14ac:dyDescent="0.2">
      <c r="A27" s="53"/>
      <c r="B27" s="86"/>
      <c r="C27" s="87"/>
      <c r="D27" s="44"/>
      <c r="E27" s="53"/>
      <c r="F27" s="86"/>
      <c r="G27" s="87"/>
      <c r="H27" s="34"/>
    </row>
    <row r="28" spans="1:10" x14ac:dyDescent="0.2">
      <c r="A28" s="40">
        <f>A17-A26</f>
        <v>44872.28</v>
      </c>
      <c r="B28" s="79">
        <f>B17-B26</f>
        <v>26025</v>
      </c>
      <c r="C28" s="80">
        <f>C17-C26</f>
        <v>18847.28</v>
      </c>
      <c r="D28" s="39" t="s">
        <v>44</v>
      </c>
      <c r="E28" s="40">
        <f>E17-E26</f>
        <v>336862</v>
      </c>
      <c r="F28" s="79">
        <f>F17-F26</f>
        <v>348750</v>
      </c>
      <c r="G28" s="80">
        <f>G17-G26</f>
        <v>-11888</v>
      </c>
      <c r="H28" s="34"/>
    </row>
    <row r="29" spans="1:10" x14ac:dyDescent="0.2">
      <c r="A29" s="53"/>
      <c r="B29" s="86"/>
      <c r="C29" s="87"/>
      <c r="D29" s="35"/>
      <c r="E29" s="53"/>
      <c r="F29" s="86"/>
      <c r="G29" s="87"/>
      <c r="H29" s="34"/>
    </row>
    <row r="30" spans="1:10" x14ac:dyDescent="0.2">
      <c r="A30" s="47"/>
      <c r="B30" s="83"/>
      <c r="C30" s="84"/>
      <c r="D30" s="27" t="s">
        <v>45</v>
      </c>
      <c r="E30" s="47"/>
      <c r="F30" s="83"/>
      <c r="G30" s="84"/>
      <c r="H30" s="34"/>
    </row>
    <row r="31" spans="1:10" x14ac:dyDescent="0.2">
      <c r="A31" s="33"/>
      <c r="B31" s="77"/>
      <c r="C31" s="78"/>
      <c r="D31" s="55" t="s">
        <v>46</v>
      </c>
      <c r="E31" s="33"/>
      <c r="F31" s="77"/>
      <c r="G31" s="78"/>
      <c r="H31" s="34"/>
    </row>
    <row r="32" spans="1:10" x14ac:dyDescent="0.2">
      <c r="A32" s="33">
        <v>4885.2299999999996</v>
      </c>
      <c r="B32" s="77">
        <v>4604</v>
      </c>
      <c r="C32" s="78">
        <f>SUM(A32-B32)</f>
        <v>281.22999999999956</v>
      </c>
      <c r="D32" s="35" t="s">
        <v>47</v>
      </c>
      <c r="E32" s="33">
        <v>58580</v>
      </c>
      <c r="F32" s="77">
        <v>58565</v>
      </c>
      <c r="G32" s="78">
        <f>SUM(E32-F32)</f>
        <v>15</v>
      </c>
      <c r="H32" s="34"/>
    </row>
    <row r="33" spans="1:8" x14ac:dyDescent="0.2">
      <c r="A33" s="33">
        <v>0</v>
      </c>
      <c r="B33" s="77">
        <v>0</v>
      </c>
      <c r="C33" s="78">
        <f t="shared" ref="C33:C43" si="2">SUM(A33-B33)</f>
        <v>0</v>
      </c>
      <c r="D33" s="56" t="s">
        <v>48</v>
      </c>
      <c r="E33" s="33">
        <v>0</v>
      </c>
      <c r="F33" s="77">
        <v>0</v>
      </c>
      <c r="G33" s="78">
        <f t="shared" ref="G33:G43" si="3">SUM(E33-F33)</f>
        <v>0</v>
      </c>
      <c r="H33" s="34"/>
    </row>
    <row r="34" spans="1:8" x14ac:dyDescent="0.2">
      <c r="A34" s="33">
        <v>493.5</v>
      </c>
      <c r="B34" s="77">
        <v>1100</v>
      </c>
      <c r="C34" s="78">
        <f t="shared" si="2"/>
        <v>-606.5</v>
      </c>
      <c r="D34" s="35" t="s">
        <v>49</v>
      </c>
      <c r="E34" s="33">
        <v>10733</v>
      </c>
      <c r="F34" s="77">
        <v>12683</v>
      </c>
      <c r="G34" s="78">
        <f t="shared" si="3"/>
        <v>-1950</v>
      </c>
      <c r="H34" s="34"/>
    </row>
    <row r="35" spans="1:8" x14ac:dyDescent="0.2">
      <c r="A35" s="33">
        <v>282.8</v>
      </c>
      <c r="B35" s="77">
        <v>225</v>
      </c>
      <c r="C35" s="78">
        <f t="shared" si="2"/>
        <v>57.800000000000011</v>
      </c>
      <c r="D35" s="35" t="s">
        <v>50</v>
      </c>
      <c r="E35" s="33">
        <v>2528</v>
      </c>
      <c r="F35" s="77">
        <v>2700</v>
      </c>
      <c r="G35" s="78">
        <f t="shared" si="3"/>
        <v>-172</v>
      </c>
      <c r="H35" s="34"/>
    </row>
    <row r="36" spans="1:8" x14ac:dyDescent="0.2">
      <c r="A36" s="33">
        <v>812.89</v>
      </c>
      <c r="B36" s="77">
        <v>450</v>
      </c>
      <c r="C36" s="78">
        <f>SUM(A36-B36)</f>
        <v>362.89</v>
      </c>
      <c r="D36" s="35" t="s">
        <v>51</v>
      </c>
      <c r="E36" s="33">
        <v>17062</v>
      </c>
      <c r="F36" s="77">
        <v>17766</v>
      </c>
      <c r="G36" s="78">
        <f t="shared" si="3"/>
        <v>-704</v>
      </c>
      <c r="H36" s="34"/>
    </row>
    <row r="37" spans="1:8" x14ac:dyDescent="0.2">
      <c r="A37" s="33">
        <v>118.32</v>
      </c>
      <c r="B37" s="77">
        <v>50</v>
      </c>
      <c r="C37" s="78">
        <f t="shared" si="2"/>
        <v>68.319999999999993</v>
      </c>
      <c r="D37" s="35" t="s">
        <v>52</v>
      </c>
      <c r="E37" s="33">
        <v>548</v>
      </c>
      <c r="F37" s="77">
        <v>926</v>
      </c>
      <c r="G37" s="78">
        <f t="shared" si="3"/>
        <v>-378</v>
      </c>
      <c r="H37" s="34"/>
    </row>
    <row r="38" spans="1:8" x14ac:dyDescent="0.2">
      <c r="A38" s="33">
        <v>0</v>
      </c>
      <c r="B38" s="77">
        <v>0</v>
      </c>
      <c r="C38" s="78">
        <f t="shared" si="2"/>
        <v>0</v>
      </c>
      <c r="D38" s="35" t="s">
        <v>53</v>
      </c>
      <c r="E38" s="33">
        <v>62</v>
      </c>
      <c r="F38" s="77">
        <v>1030</v>
      </c>
      <c r="G38" s="78">
        <f t="shared" si="3"/>
        <v>-968</v>
      </c>
      <c r="H38" s="34"/>
    </row>
    <row r="39" spans="1:8" x14ac:dyDescent="0.2">
      <c r="A39" s="33">
        <v>0</v>
      </c>
      <c r="B39" s="77">
        <v>0</v>
      </c>
      <c r="C39" s="78">
        <f t="shared" si="2"/>
        <v>0</v>
      </c>
      <c r="D39" s="35" t="s">
        <v>54</v>
      </c>
      <c r="E39" s="33">
        <v>0</v>
      </c>
      <c r="F39" s="77">
        <v>0</v>
      </c>
      <c r="G39" s="78">
        <f t="shared" si="3"/>
        <v>0</v>
      </c>
      <c r="H39" s="34"/>
    </row>
    <row r="40" spans="1:8" x14ac:dyDescent="0.2">
      <c r="A40" s="33">
        <v>0</v>
      </c>
      <c r="B40" s="77">
        <v>0</v>
      </c>
      <c r="C40" s="78">
        <f t="shared" si="2"/>
        <v>0</v>
      </c>
      <c r="D40" s="35" t="s">
        <v>55</v>
      </c>
      <c r="E40" s="33">
        <v>0</v>
      </c>
      <c r="F40" s="77">
        <v>0</v>
      </c>
      <c r="G40" s="78">
        <f t="shared" si="3"/>
        <v>0</v>
      </c>
      <c r="H40" s="34"/>
    </row>
    <row r="41" spans="1:8" x14ac:dyDescent="0.2">
      <c r="A41" s="33">
        <v>49.92</v>
      </c>
      <c r="B41" s="77">
        <v>0</v>
      </c>
      <c r="C41" s="78">
        <f t="shared" si="2"/>
        <v>49.92</v>
      </c>
      <c r="D41" s="35" t="s">
        <v>56</v>
      </c>
      <c r="E41" s="33">
        <v>1406</v>
      </c>
      <c r="F41" s="77">
        <v>0</v>
      </c>
      <c r="G41" s="78">
        <f t="shared" si="3"/>
        <v>1406</v>
      </c>
      <c r="H41" s="34"/>
    </row>
    <row r="42" spans="1:8" x14ac:dyDescent="0.2">
      <c r="A42" s="33">
        <v>428.87</v>
      </c>
      <c r="B42" s="77">
        <v>400</v>
      </c>
      <c r="C42" s="78">
        <f t="shared" si="2"/>
        <v>28.870000000000005</v>
      </c>
      <c r="D42" s="35" t="s">
        <v>57</v>
      </c>
      <c r="E42" s="33">
        <v>4746</v>
      </c>
      <c r="F42" s="77">
        <v>4665</v>
      </c>
      <c r="G42" s="78">
        <f t="shared" si="3"/>
        <v>81</v>
      </c>
      <c r="H42" s="34"/>
    </row>
    <row r="43" spans="1:8" x14ac:dyDescent="0.2">
      <c r="A43" s="60">
        <v>0</v>
      </c>
      <c r="B43" s="88">
        <v>0</v>
      </c>
      <c r="C43" s="89">
        <f t="shared" si="2"/>
        <v>0</v>
      </c>
      <c r="D43" s="35" t="s">
        <v>37</v>
      </c>
      <c r="E43" s="60">
        <v>1096</v>
      </c>
      <c r="F43" s="88">
        <v>0</v>
      </c>
      <c r="G43" s="89">
        <f t="shared" si="3"/>
        <v>1096</v>
      </c>
      <c r="H43" s="34"/>
    </row>
    <row r="44" spans="1:8" x14ac:dyDescent="0.2">
      <c r="A44" s="33">
        <f>SUM(A32:A43)</f>
        <v>7071.53</v>
      </c>
      <c r="B44" s="77">
        <f>SUM(B32:B43)</f>
        <v>6829</v>
      </c>
      <c r="C44" s="78">
        <f>SUM(C32:C43)</f>
        <v>242.52999999999957</v>
      </c>
      <c r="D44" s="61" t="s">
        <v>58</v>
      </c>
      <c r="E44" s="33">
        <f>SUM(E32:E43)</f>
        <v>96761</v>
      </c>
      <c r="F44" s="77">
        <f>SUM(F32:F43)</f>
        <v>98335</v>
      </c>
      <c r="G44" s="78">
        <f>SUM(G32:G43)</f>
        <v>-1574</v>
      </c>
      <c r="H44" s="34"/>
    </row>
    <row r="45" spans="1:8" x14ac:dyDescent="0.2">
      <c r="A45" s="33"/>
      <c r="B45" s="77"/>
      <c r="C45" s="78"/>
      <c r="D45" s="61"/>
      <c r="E45" s="33"/>
      <c r="F45" s="77"/>
      <c r="G45" s="78"/>
      <c r="H45" s="34"/>
    </row>
    <row r="46" spans="1:8" x14ac:dyDescent="0.2">
      <c r="A46" s="33"/>
      <c r="B46" s="77"/>
      <c r="C46" s="78"/>
      <c r="D46" s="55" t="s">
        <v>59</v>
      </c>
      <c r="E46" s="33"/>
      <c r="F46" s="77"/>
      <c r="G46" s="78"/>
      <c r="H46" s="34"/>
    </row>
    <row r="47" spans="1:8" x14ac:dyDescent="0.2">
      <c r="A47" s="33">
        <v>4769.08</v>
      </c>
      <c r="B47" s="77">
        <v>5100</v>
      </c>
      <c r="C47" s="78">
        <f t="shared" ref="C47:C52" si="4">SUM(A47-B47)</f>
        <v>-330.92000000000007</v>
      </c>
      <c r="D47" s="35" t="s">
        <v>47</v>
      </c>
      <c r="E47" s="33">
        <v>63585</v>
      </c>
      <c r="F47" s="77">
        <v>61811</v>
      </c>
      <c r="G47" s="78">
        <f t="shared" ref="G47:G52" si="5">SUM(E47-F47)</f>
        <v>1774</v>
      </c>
      <c r="H47" s="34"/>
    </row>
    <row r="48" spans="1:8" x14ac:dyDescent="0.2">
      <c r="A48" s="33">
        <v>696.77</v>
      </c>
      <c r="B48" s="77">
        <v>600</v>
      </c>
      <c r="C48" s="78">
        <f t="shared" si="4"/>
        <v>96.769999999999982</v>
      </c>
      <c r="D48" s="35" t="s">
        <v>49</v>
      </c>
      <c r="E48" s="33">
        <v>10055</v>
      </c>
      <c r="F48" s="77">
        <v>7858</v>
      </c>
      <c r="G48" s="78">
        <f t="shared" si="5"/>
        <v>2197</v>
      </c>
      <c r="H48" s="34"/>
    </row>
    <row r="49" spans="1:8" x14ac:dyDescent="0.2">
      <c r="A49" s="33">
        <v>595.15</v>
      </c>
      <c r="B49" s="77">
        <v>450</v>
      </c>
      <c r="C49" s="78">
        <f t="shared" si="4"/>
        <v>145.14999999999998</v>
      </c>
      <c r="D49" s="35" t="s">
        <v>37</v>
      </c>
      <c r="E49" s="33">
        <v>9178</v>
      </c>
      <c r="F49" s="77">
        <v>9478</v>
      </c>
      <c r="G49" s="78">
        <f t="shared" si="5"/>
        <v>-300</v>
      </c>
      <c r="H49" s="34"/>
    </row>
    <row r="50" spans="1:8" x14ac:dyDescent="0.2">
      <c r="A50" s="33">
        <v>5400</v>
      </c>
      <c r="B50" s="77">
        <v>3900</v>
      </c>
      <c r="C50" s="78">
        <f t="shared" si="4"/>
        <v>1500</v>
      </c>
      <c r="D50" s="35" t="s">
        <v>60</v>
      </c>
      <c r="E50" s="33">
        <v>56389</v>
      </c>
      <c r="F50" s="77">
        <v>53200</v>
      </c>
      <c r="G50" s="78">
        <f t="shared" si="5"/>
        <v>3189</v>
      </c>
      <c r="H50" s="34"/>
    </row>
    <row r="51" spans="1:8" x14ac:dyDescent="0.2">
      <c r="A51" s="33">
        <v>0</v>
      </c>
      <c r="B51" s="77">
        <v>5700</v>
      </c>
      <c r="C51" s="78">
        <f t="shared" si="4"/>
        <v>-5700</v>
      </c>
      <c r="D51" s="35" t="s">
        <v>61</v>
      </c>
      <c r="E51" s="33">
        <v>81472</v>
      </c>
      <c r="F51" s="77">
        <v>83925</v>
      </c>
      <c r="G51" s="78">
        <f t="shared" si="5"/>
        <v>-2453</v>
      </c>
      <c r="H51" s="34"/>
    </row>
    <row r="52" spans="1:8" x14ac:dyDescent="0.2">
      <c r="A52" s="60">
        <v>74.95</v>
      </c>
      <c r="B52" s="88">
        <v>150</v>
      </c>
      <c r="C52" s="78">
        <f t="shared" si="4"/>
        <v>-75.05</v>
      </c>
      <c r="D52" s="35" t="s">
        <v>62</v>
      </c>
      <c r="E52" s="60">
        <v>6175</v>
      </c>
      <c r="F52" s="88">
        <v>6090</v>
      </c>
      <c r="G52" s="78">
        <f t="shared" si="5"/>
        <v>85</v>
      </c>
      <c r="H52" s="34"/>
    </row>
    <row r="53" spans="1:8" x14ac:dyDescent="0.2">
      <c r="A53" s="33">
        <f>SUM(A47:A52)</f>
        <v>11535.95</v>
      </c>
      <c r="B53" s="77">
        <f>SUM(B47:B52)</f>
        <v>15900</v>
      </c>
      <c r="C53" s="78">
        <f>SUM(C47:C52)</f>
        <v>-4364.05</v>
      </c>
      <c r="D53" s="61" t="s">
        <v>63</v>
      </c>
      <c r="E53" s="33">
        <f>SUM(E47:E52)</f>
        <v>226854</v>
      </c>
      <c r="F53" s="77">
        <f>SUM(F47:F52)</f>
        <v>222362</v>
      </c>
      <c r="G53" s="78">
        <f>SUM(G47:G52)</f>
        <v>4492</v>
      </c>
      <c r="H53" s="34"/>
    </row>
    <row r="54" spans="1:8" x14ac:dyDescent="0.2">
      <c r="A54" s="33"/>
      <c r="B54" s="77"/>
      <c r="C54" s="78"/>
      <c r="D54" s="35"/>
      <c r="E54" s="33"/>
      <c r="F54" s="77"/>
      <c r="G54" s="78"/>
      <c r="H54" s="34"/>
    </row>
    <row r="55" spans="1:8" x14ac:dyDescent="0.2">
      <c r="A55" s="33"/>
      <c r="B55" s="77"/>
      <c r="C55" s="78"/>
      <c r="D55" s="55" t="s">
        <v>64</v>
      </c>
      <c r="E55" s="33"/>
      <c r="F55" s="77"/>
      <c r="G55" s="78"/>
      <c r="H55" s="34"/>
    </row>
    <row r="56" spans="1:8" x14ac:dyDescent="0.2">
      <c r="A56" s="33">
        <v>1672.27</v>
      </c>
      <c r="B56" s="77">
        <v>1800</v>
      </c>
      <c r="C56" s="78">
        <f>SUM(A56-B56)</f>
        <v>-127.73000000000002</v>
      </c>
      <c r="D56" s="35" t="s">
        <v>47</v>
      </c>
      <c r="E56" s="33">
        <v>18026</v>
      </c>
      <c r="F56" s="77">
        <v>17196</v>
      </c>
      <c r="G56" s="78">
        <f>SUM(E56-F56)</f>
        <v>830</v>
      </c>
      <c r="H56" s="34"/>
    </row>
    <row r="57" spans="1:8" x14ac:dyDescent="0.2">
      <c r="A57" s="33">
        <v>0</v>
      </c>
      <c r="B57" s="77">
        <v>0</v>
      </c>
      <c r="C57" s="78">
        <f t="shared" ref="C57:C65" si="6">SUM(A57-B57)</f>
        <v>0</v>
      </c>
      <c r="D57" s="35" t="s">
        <v>48</v>
      </c>
      <c r="E57" s="33">
        <v>0</v>
      </c>
      <c r="F57" s="77">
        <v>0</v>
      </c>
      <c r="G57" s="78">
        <f t="shared" ref="G57:G66" si="7">SUM(E57-F57)</f>
        <v>0</v>
      </c>
      <c r="H57" s="34"/>
    </row>
    <row r="58" spans="1:8" x14ac:dyDescent="0.2">
      <c r="A58" s="33">
        <v>6</v>
      </c>
      <c r="B58" s="77">
        <v>20</v>
      </c>
      <c r="C58" s="78">
        <f t="shared" si="6"/>
        <v>-14</v>
      </c>
      <c r="D58" s="35" t="s">
        <v>49</v>
      </c>
      <c r="E58" s="33">
        <v>251</v>
      </c>
      <c r="F58" s="77">
        <v>325</v>
      </c>
      <c r="G58" s="78">
        <f t="shared" si="7"/>
        <v>-74</v>
      </c>
      <c r="H58" s="34"/>
    </row>
    <row r="59" spans="1:8" x14ac:dyDescent="0.2">
      <c r="A59" s="33">
        <v>183.69</v>
      </c>
      <c r="B59" s="77">
        <v>125</v>
      </c>
      <c r="C59" s="78">
        <f t="shared" si="6"/>
        <v>58.69</v>
      </c>
      <c r="D59" s="35" t="s">
        <v>50</v>
      </c>
      <c r="E59" s="33">
        <v>1687</v>
      </c>
      <c r="F59" s="77">
        <v>1500</v>
      </c>
      <c r="G59" s="78">
        <f t="shared" si="7"/>
        <v>187</v>
      </c>
      <c r="H59" s="34"/>
    </row>
    <row r="60" spans="1:8" x14ac:dyDescent="0.2">
      <c r="A60" s="33">
        <v>31.87</v>
      </c>
      <c r="B60" s="77">
        <v>30</v>
      </c>
      <c r="C60" s="78">
        <f t="shared" si="6"/>
        <v>1.870000000000001</v>
      </c>
      <c r="D60" s="35" t="s">
        <v>57</v>
      </c>
      <c r="E60" s="33">
        <v>257</v>
      </c>
      <c r="F60" s="77">
        <v>260</v>
      </c>
      <c r="G60" s="78">
        <f t="shared" si="7"/>
        <v>-3</v>
      </c>
      <c r="H60" s="34"/>
    </row>
    <row r="61" spans="1:8" x14ac:dyDescent="0.2">
      <c r="A61" s="33">
        <v>256.49</v>
      </c>
      <c r="B61" s="77">
        <v>255</v>
      </c>
      <c r="C61" s="78">
        <f t="shared" si="6"/>
        <v>1.4900000000000091</v>
      </c>
      <c r="D61" s="35" t="s">
        <v>65</v>
      </c>
      <c r="E61" s="33">
        <v>3078</v>
      </c>
      <c r="F61" s="77">
        <v>3060</v>
      </c>
      <c r="G61" s="78">
        <f t="shared" si="7"/>
        <v>18</v>
      </c>
      <c r="H61" s="34"/>
    </row>
    <row r="62" spans="1:8" x14ac:dyDescent="0.2">
      <c r="A62" s="33">
        <v>0</v>
      </c>
      <c r="B62" s="77">
        <v>20</v>
      </c>
      <c r="C62" s="78">
        <f t="shared" si="6"/>
        <v>-20</v>
      </c>
      <c r="D62" s="35" t="s">
        <v>66</v>
      </c>
      <c r="E62" s="33">
        <v>111</v>
      </c>
      <c r="F62" s="77">
        <v>240</v>
      </c>
      <c r="G62" s="78">
        <f t="shared" si="7"/>
        <v>-129</v>
      </c>
      <c r="H62" s="34"/>
    </row>
    <row r="63" spans="1:8" x14ac:dyDescent="0.2">
      <c r="A63" s="33">
        <v>0</v>
      </c>
      <c r="B63" s="77">
        <v>0</v>
      </c>
      <c r="C63" s="78">
        <f t="shared" si="6"/>
        <v>0</v>
      </c>
      <c r="D63" s="35" t="s">
        <v>67</v>
      </c>
      <c r="E63" s="33">
        <v>4650</v>
      </c>
      <c r="F63" s="77">
        <v>4495</v>
      </c>
      <c r="G63" s="78">
        <f t="shared" si="7"/>
        <v>155</v>
      </c>
      <c r="H63" s="34"/>
    </row>
    <row r="64" spans="1:8" x14ac:dyDescent="0.2">
      <c r="A64" s="33">
        <v>51.31</v>
      </c>
      <c r="B64" s="77">
        <v>25</v>
      </c>
      <c r="C64" s="78">
        <f t="shared" si="6"/>
        <v>26.310000000000002</v>
      </c>
      <c r="D64" s="35" t="s">
        <v>68</v>
      </c>
      <c r="E64" s="33">
        <v>1110</v>
      </c>
      <c r="F64" s="77">
        <v>300</v>
      </c>
      <c r="G64" s="78">
        <f t="shared" si="7"/>
        <v>810</v>
      </c>
      <c r="H64" s="34"/>
    </row>
    <row r="65" spans="1:8" x14ac:dyDescent="0.2">
      <c r="A65" s="60">
        <v>-472.71</v>
      </c>
      <c r="B65" s="88">
        <v>0</v>
      </c>
      <c r="C65" s="89">
        <f t="shared" si="6"/>
        <v>-472.71</v>
      </c>
      <c r="D65" s="35" t="s">
        <v>37</v>
      </c>
      <c r="E65" s="60">
        <v>-2379</v>
      </c>
      <c r="F65" s="88">
        <v>0</v>
      </c>
      <c r="G65" s="78">
        <f t="shared" si="7"/>
        <v>-2379</v>
      </c>
      <c r="H65" s="34"/>
    </row>
    <row r="66" spans="1:8" x14ac:dyDescent="0.2">
      <c r="A66" s="33">
        <f>SUM(A56:A65)</f>
        <v>1728.9199999999996</v>
      </c>
      <c r="B66" s="77">
        <f>SUM(B56:B65)</f>
        <v>2275</v>
      </c>
      <c r="C66" s="78">
        <f>SUM(C56:C65)</f>
        <v>-546.07999999999993</v>
      </c>
      <c r="D66" s="61" t="s">
        <v>63</v>
      </c>
      <c r="E66" s="33">
        <f>SUM(E56:E65)</f>
        <v>26791</v>
      </c>
      <c r="F66" s="77">
        <f>SUM(F56:F65)</f>
        <v>27376</v>
      </c>
      <c r="G66" s="78">
        <f t="shared" si="7"/>
        <v>-585</v>
      </c>
      <c r="H66" s="34"/>
    </row>
    <row r="67" spans="1:8" x14ac:dyDescent="0.2">
      <c r="A67" s="40">
        <f>A66+A53+A44</f>
        <v>20336.400000000001</v>
      </c>
      <c r="B67" s="79">
        <f>SUM(B44+B53+B66)</f>
        <v>25004</v>
      </c>
      <c r="C67" s="80">
        <f>A67-B67</f>
        <v>-4667.5999999999985</v>
      </c>
      <c r="D67" s="39" t="s">
        <v>69</v>
      </c>
      <c r="E67" s="40">
        <f>E66+E53+E44</f>
        <v>350406</v>
      </c>
      <c r="F67" s="79">
        <f>SUM(F44+F53+F66)</f>
        <v>348073</v>
      </c>
      <c r="G67" s="80">
        <f>E67-F67</f>
        <v>2333</v>
      </c>
      <c r="H67" s="34"/>
    </row>
    <row r="68" spans="1:8" x14ac:dyDescent="0.2">
      <c r="A68" s="53"/>
      <c r="B68" s="86"/>
      <c r="C68" s="87"/>
      <c r="D68" s="35"/>
      <c r="E68" s="53"/>
      <c r="F68" s="86"/>
      <c r="G68" s="87"/>
      <c r="H68" s="34"/>
    </row>
    <row r="69" spans="1:8" x14ac:dyDescent="0.2">
      <c r="A69" s="47"/>
      <c r="B69" s="83"/>
      <c r="C69" s="84"/>
      <c r="D69" s="35"/>
      <c r="E69" s="47"/>
      <c r="F69" s="83"/>
      <c r="G69" s="84"/>
      <c r="H69" s="34"/>
    </row>
    <row r="70" spans="1:8" ht="16" thickBot="1" x14ac:dyDescent="0.25">
      <c r="A70" s="62">
        <f>A28-A67</f>
        <v>24535.879999999997</v>
      </c>
      <c r="B70" s="63">
        <f>B28-B67</f>
        <v>1021</v>
      </c>
      <c r="C70" s="64">
        <f>C28-C67</f>
        <v>23514.879999999997</v>
      </c>
      <c r="D70" s="65" t="s">
        <v>70</v>
      </c>
      <c r="E70" s="62">
        <v>-11011.37</v>
      </c>
      <c r="F70" s="63">
        <f>SUM(F28-F67)</f>
        <v>677</v>
      </c>
      <c r="G70" s="64">
        <f>SUM(E70-F70)</f>
        <v>-11688.37</v>
      </c>
      <c r="H70" s="34"/>
    </row>
    <row r="71" spans="1:8" ht="16" thickTop="1" x14ac:dyDescent="0.2"/>
  </sheetData>
  <mergeCells count="5">
    <mergeCell ref="A1:G1"/>
    <mergeCell ref="A2:G2"/>
    <mergeCell ref="A3:G3"/>
    <mergeCell ref="A6:C6"/>
    <mergeCell ref="E6:G6"/>
  </mergeCells>
  <pageMargins left="0.7" right="0.7" top="0.75" bottom="0.75" header="0.3" footer="0.3"/>
  <pageSetup scale="72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BBB standards</vt:lpstr>
      <vt:lpstr>2022 FinResults in compile </vt:lpstr>
      <vt:lpstr>2021 FinResults in compile form</vt:lpstr>
      <vt:lpstr>2020 P&amp;L</vt:lpstr>
      <vt:lpstr>2019 P&amp;L</vt:lpstr>
      <vt:lpstr>2018 P&amp;L</vt:lpstr>
      <vt:lpstr>2017 P&amp;L</vt:lpstr>
      <vt:lpstr>'2017 P&amp;L'!Print_Area</vt:lpstr>
      <vt:lpstr>'2019 P&amp;L'!Print_Area</vt:lpstr>
      <vt:lpstr>'2020 P&amp;L'!Print_Area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2020-01-18T01:00:16Z</cp:lastPrinted>
  <dcterms:created xsi:type="dcterms:W3CDTF">2020-01-17T21:55:38Z</dcterms:created>
  <dcterms:modified xsi:type="dcterms:W3CDTF">2023-04-18T13:39:19Z</dcterms:modified>
</cp:coreProperties>
</file>