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5\"/>
    </mc:Choice>
  </mc:AlternateContent>
  <xr:revisionPtr revIDLastSave="0" documentId="13_ncr:1_{CCD29FDE-8DF0-48C7-BE57-7B119A8F6897}" xr6:coauthVersionLast="47" xr6:coauthVersionMax="47" xr10:uidLastSave="{00000000-0000-0000-0000-000000000000}"/>
  <bookViews>
    <workbookView xWindow="11556" yWindow="0" windowWidth="11160" windowHeight="12360" tabRatio="844" activeTab="4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Duck Stamp 2022" sheetId="7" r:id="rId6"/>
    <sheet name="Duck Stamp 2025" sheetId="8" r:id="rId7"/>
    <sheet name="R3 2025" sheetId="9" r:id="rId8"/>
    <sheet name="LYR 2024" sheetId="10" r:id="rId9"/>
    <sheet name="NRCS" sheetId="12" r:id="rId10"/>
    <sheet name="PLE 2024" sheetId="11" r:id="rId11"/>
    <sheet name="NAWCA" sheetId="13" r:id="rId12"/>
    <sheet name="2011 VS 2012 by Class" sheetId="6" state="hidden" r:id="rId13"/>
  </sheets>
  <externalReferences>
    <externalReference r:id="rId14"/>
  </externalReferences>
  <definedNames>
    <definedName name="_xlnm.Print_Area" localSheetId="1">BS!$E$4:$V$49</definedName>
    <definedName name="_xlnm.Print_Area" localSheetId="3">'BS wrksht'!$A$1:$P$32</definedName>
    <definedName name="_xlnm.Print_Area" localSheetId="2">CF!$A$4:$S$33</definedName>
    <definedName name="_xlnm.Print_Area" localSheetId="0">'Income Statement'!$A$1:$P$77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BS!$E$3:$M$50</definedName>
    <definedName name="Report" localSheetId="1">BS!$A$3:$M$50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B66" i="5" l="1"/>
  <c r="B53" i="5"/>
  <c r="B41" i="5"/>
  <c r="B68" i="5" s="1"/>
  <c r="B25" i="5"/>
  <c r="B71" i="5" s="1"/>
  <c r="B23" i="5"/>
  <c r="B14" i="5"/>
  <c r="E6" i="13"/>
  <c r="F6" i="13"/>
  <c r="G6" i="13"/>
  <c r="H6" i="13"/>
  <c r="I6" i="13" s="1"/>
  <c r="J6" i="13" s="1"/>
  <c r="K6" i="13" s="1"/>
  <c r="L6" i="13" s="1"/>
  <c r="M6" i="13" s="1"/>
  <c r="N6" i="13" s="1"/>
  <c r="D6" i="13"/>
  <c r="C6" i="13"/>
  <c r="C6" i="10" l="1"/>
  <c r="B12" i="3"/>
  <c r="C6" i="12"/>
  <c r="D6" i="12" s="1"/>
  <c r="E6" i="12" s="1"/>
  <c r="F6" i="12" s="1"/>
  <c r="G6" i="12" s="1"/>
  <c r="H6" i="12" s="1"/>
  <c r="I6" i="12" s="1"/>
  <c r="J6" i="12" s="1"/>
  <c r="K6" i="12" s="1"/>
  <c r="L6" i="12" s="1"/>
  <c r="M6" i="12" s="1"/>
  <c r="N6" i="12" s="1"/>
  <c r="C6" i="11"/>
  <c r="D6" i="11" s="1"/>
  <c r="E6" i="11" s="1"/>
  <c r="F6" i="11" s="1"/>
  <c r="G6" i="11" s="1"/>
  <c r="H6" i="11" s="1"/>
  <c r="I6" i="11" s="1"/>
  <c r="J6" i="11" s="1"/>
  <c r="K6" i="11" s="1"/>
  <c r="L6" i="11" s="1"/>
  <c r="M6" i="11" s="1"/>
  <c r="N6" i="11" s="1"/>
  <c r="D11" i="3"/>
  <c r="E11" i="3"/>
  <c r="F11" i="3"/>
  <c r="G11" i="3"/>
  <c r="H11" i="3"/>
  <c r="I11" i="3"/>
  <c r="J11" i="3"/>
  <c r="K11" i="3"/>
  <c r="L11" i="3"/>
  <c r="M11" i="3"/>
  <c r="N11" i="3"/>
  <c r="C11" i="3"/>
  <c r="D6" i="10"/>
  <c r="E6" i="10" s="1"/>
  <c r="F6" i="10" s="1"/>
  <c r="G6" i="10" s="1"/>
  <c r="H6" i="10" s="1"/>
  <c r="I6" i="10" s="1"/>
  <c r="J6" i="10" s="1"/>
  <c r="K6" i="10" s="1"/>
  <c r="L6" i="10" s="1"/>
  <c r="M6" i="10" s="1"/>
  <c r="N6" i="10" s="1"/>
  <c r="C72" i="4"/>
  <c r="C12" i="3" l="1"/>
  <c r="D12" i="3" s="1"/>
  <c r="E12" i="3" s="1"/>
  <c r="F12" i="3" s="1"/>
  <c r="G12" i="3" s="1"/>
  <c r="H12" i="3" s="1"/>
  <c r="I12" i="3" s="1"/>
  <c r="J12" i="3" s="1"/>
  <c r="K12" i="3" s="1"/>
  <c r="L12" i="3" s="1"/>
  <c r="M12" i="3" s="1"/>
  <c r="N12" i="3" s="1"/>
  <c r="J29" i="4"/>
  <c r="P31" i="4"/>
  <c r="P47" i="4"/>
  <c r="P59" i="4"/>
  <c r="P74" i="4" l="1"/>
  <c r="G71" i="5" l="1"/>
  <c r="F71" i="5"/>
  <c r="E71" i="5"/>
  <c r="D71" i="5" l="1"/>
  <c r="I68" i="5" l="1"/>
  <c r="J68" i="5"/>
  <c r="K68" i="5"/>
  <c r="L68" i="5"/>
  <c r="M68" i="5"/>
  <c r="C71" i="5"/>
  <c r="H71" i="5"/>
  <c r="I71" i="5"/>
  <c r="J71" i="5"/>
  <c r="K71" i="5"/>
  <c r="L71" i="5"/>
  <c r="M71" i="5"/>
  <c r="N54" i="4"/>
  <c r="N55" i="4"/>
  <c r="N15" i="4" l="1"/>
  <c r="N14" i="4"/>
  <c r="N13" i="4" l="1"/>
  <c r="N64" i="4" l="1"/>
  <c r="L67" i="5" l="1"/>
  <c r="K67" i="5"/>
  <c r="J67" i="5"/>
  <c r="I67" i="5" l="1"/>
  <c r="N39" i="5" l="1"/>
  <c r="N4" i="5"/>
  <c r="N5" i="5"/>
  <c r="N6" i="5"/>
  <c r="N7" i="5"/>
  <c r="N8" i="5"/>
  <c r="N9" i="5"/>
  <c r="N10" i="5"/>
  <c r="N11" i="5"/>
  <c r="N13" i="5"/>
  <c r="N14" i="5"/>
  <c r="N15" i="5"/>
  <c r="N16" i="5"/>
  <c r="N17" i="5"/>
  <c r="N18" i="5"/>
  <c r="N19" i="5"/>
  <c r="N20" i="5"/>
  <c r="N22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40" i="5"/>
  <c r="N41" i="5"/>
  <c r="N42" i="5"/>
  <c r="N43" i="5"/>
  <c r="N44" i="5"/>
  <c r="N45" i="5"/>
  <c r="N46" i="5"/>
  <c r="N47" i="5"/>
  <c r="N48" i="5"/>
  <c r="N50" i="5"/>
  <c r="N51" i="5"/>
  <c r="N52" i="5"/>
  <c r="N53" i="5"/>
  <c r="N54" i="5"/>
  <c r="N55" i="5"/>
  <c r="N56" i="5"/>
  <c r="N57" i="5"/>
  <c r="N58" i="5"/>
  <c r="N59" i="5"/>
  <c r="N60" i="5"/>
  <c r="N61" i="5"/>
  <c r="N63" i="5"/>
  <c r="N65" i="5"/>
  <c r="N66" i="5"/>
  <c r="N68" i="5" l="1"/>
  <c r="N71" i="5" s="1"/>
  <c r="N62" i="5"/>
  <c r="N21" i="5"/>
  <c r="N49" i="5"/>
  <c r="N12" i="5"/>
  <c r="N64" i="5"/>
  <c r="B72" i="4"/>
  <c r="N67" i="5" l="1"/>
  <c r="N23" i="5"/>
  <c r="J49" i="1" l="1"/>
  <c r="J45" i="1"/>
  <c r="J32" i="1"/>
  <c r="J21" i="1"/>
  <c r="J27" i="1" s="1"/>
  <c r="J36" i="1" s="1"/>
  <c r="J50" i="1" l="1"/>
  <c r="N17" i="4" l="1"/>
  <c r="N57" i="4"/>
  <c r="J18" i="2" l="1"/>
  <c r="N53" i="4" l="1"/>
  <c r="N45" i="4" l="1"/>
  <c r="N42" i="4"/>
  <c r="N9" i="4" l="1"/>
  <c r="N10" i="4"/>
  <c r="N11" i="4"/>
  <c r="N12" i="4"/>
  <c r="N16" i="4"/>
  <c r="N18" i="4"/>
  <c r="G31" i="2" l="1"/>
  <c r="G15" i="2"/>
  <c r="G24" i="2"/>
  <c r="G20" i="2"/>
  <c r="G19" i="2"/>
  <c r="G18" i="2"/>
  <c r="G16" i="2"/>
  <c r="G14" i="2"/>
  <c r="G9" i="2"/>
  <c r="N25" i="4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5" i="4"/>
  <c r="N46" i="4"/>
  <c r="N44" i="4"/>
  <c r="N36" i="4"/>
  <c r="J72" i="4"/>
  <c r="J59" i="4"/>
  <c r="J47" i="4"/>
  <c r="J20" i="4"/>
  <c r="N3" i="5"/>
  <c r="N52" i="4"/>
  <c r="N51" i="4"/>
  <c r="N50" i="4"/>
  <c r="N58" i="4"/>
  <c r="N56" i="4"/>
  <c r="K32" i="1"/>
  <c r="M72" i="4"/>
  <c r="L72" i="4"/>
  <c r="K72" i="4"/>
  <c r="I72" i="4"/>
  <c r="H72" i="4"/>
  <c r="G72" i="4"/>
  <c r="F72" i="4"/>
  <c r="E72" i="4"/>
  <c r="D72" i="4"/>
  <c r="M59" i="4"/>
  <c r="L59" i="4"/>
  <c r="K59" i="4"/>
  <c r="I59" i="4"/>
  <c r="H59" i="4"/>
  <c r="G59" i="4"/>
  <c r="F59" i="4"/>
  <c r="E59" i="4"/>
  <c r="D59" i="4"/>
  <c r="C59" i="4"/>
  <c r="B59" i="4"/>
  <c r="M47" i="4"/>
  <c r="L47" i="4"/>
  <c r="K47" i="4"/>
  <c r="I47" i="4"/>
  <c r="H47" i="4"/>
  <c r="G47" i="4"/>
  <c r="F47" i="4"/>
  <c r="E47" i="4"/>
  <c r="D47" i="4"/>
  <c r="C47" i="4"/>
  <c r="B47" i="4"/>
  <c r="C20" i="4"/>
  <c r="B20" i="4"/>
  <c r="M29" i="4"/>
  <c r="L29" i="4"/>
  <c r="K29" i="4"/>
  <c r="I29" i="4"/>
  <c r="H29" i="4"/>
  <c r="G29" i="4"/>
  <c r="C29" i="4"/>
  <c r="B29" i="4"/>
  <c r="F29" i="4"/>
  <c r="E29" i="4"/>
  <c r="D29" i="4"/>
  <c r="M20" i="4"/>
  <c r="L20" i="4"/>
  <c r="K20" i="4"/>
  <c r="I20" i="4"/>
  <c r="H20" i="4"/>
  <c r="G20" i="4"/>
  <c r="F20" i="4"/>
  <c r="E20" i="4"/>
  <c r="D20" i="4"/>
  <c r="C6" i="6"/>
  <c r="B6" i="6"/>
  <c r="F6" i="6"/>
  <c r="E6" i="6"/>
  <c r="I6" i="6"/>
  <c r="H6" i="6"/>
  <c r="N40" i="4"/>
  <c r="C23" i="3"/>
  <c r="D23" i="3" s="1"/>
  <c r="C17" i="3"/>
  <c r="K22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71" i="4"/>
  <c r="N70" i="4"/>
  <c r="N69" i="4"/>
  <c r="N68" i="4"/>
  <c r="N67" i="4"/>
  <c r="N66" i="4"/>
  <c r="N63" i="4"/>
  <c r="N62" i="4"/>
  <c r="N43" i="4"/>
  <c r="N41" i="4"/>
  <c r="N39" i="4"/>
  <c r="N38" i="4"/>
  <c r="N37" i="4"/>
  <c r="N35" i="4"/>
  <c r="N24" i="4"/>
  <c r="N23" i="4"/>
  <c r="J19" i="2"/>
  <c r="L19" i="2"/>
  <c r="N19" i="2"/>
  <c r="P19" i="2"/>
  <c r="R19" i="2"/>
  <c r="L32" i="1"/>
  <c r="M32" i="1"/>
  <c r="N32" i="1"/>
  <c r="O32" i="1"/>
  <c r="P32" i="1"/>
  <c r="Q32" i="1"/>
  <c r="R32" i="1"/>
  <c r="S32" i="1"/>
  <c r="T32" i="1"/>
  <c r="U32" i="1"/>
  <c r="V32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31" i="4" l="1"/>
  <c r="C31" i="4"/>
  <c r="S24" i="2"/>
  <c r="D17" i="3"/>
  <c r="L22" i="1" s="1"/>
  <c r="S15" i="2"/>
  <c r="K23" i="1"/>
  <c r="G12" i="2" s="1"/>
  <c r="S9" i="2"/>
  <c r="K24" i="1"/>
  <c r="G13" i="2" s="1"/>
  <c r="E23" i="3"/>
  <c r="L24" i="1"/>
  <c r="S16" i="2"/>
  <c r="S20" i="2"/>
  <c r="I14" i="2"/>
  <c r="S19" i="2"/>
  <c r="J31" i="4"/>
  <c r="S18" i="2"/>
  <c r="N72" i="4"/>
  <c r="L74" i="4"/>
  <c r="N59" i="4"/>
  <c r="J74" i="4"/>
  <c r="H74" i="4"/>
  <c r="I74" i="4"/>
  <c r="N47" i="4"/>
  <c r="M74" i="4"/>
  <c r="N27" i="3" s="1"/>
  <c r="E74" i="4"/>
  <c r="K31" i="4"/>
  <c r="I31" i="4"/>
  <c r="N29" i="4"/>
  <c r="L31" i="4"/>
  <c r="H31" i="4"/>
  <c r="G31" i="4"/>
  <c r="D31" i="4"/>
  <c r="F31" i="4"/>
  <c r="B74" i="4"/>
  <c r="F74" i="4"/>
  <c r="K74" i="4"/>
  <c r="C74" i="4"/>
  <c r="G74" i="4"/>
  <c r="D74" i="4"/>
  <c r="M31" i="4"/>
  <c r="B31" i="4"/>
  <c r="N20" i="4"/>
  <c r="N28" i="3" l="1"/>
  <c r="M27" i="3"/>
  <c r="M28" i="3"/>
  <c r="L27" i="3"/>
  <c r="L28" i="3"/>
  <c r="K27" i="3"/>
  <c r="K28" i="3"/>
  <c r="J27" i="3"/>
  <c r="J28" i="3"/>
  <c r="I27" i="3"/>
  <c r="I28" i="3"/>
  <c r="H27" i="3"/>
  <c r="H28" i="3"/>
  <c r="G27" i="3"/>
  <c r="G28" i="3"/>
  <c r="F27" i="3"/>
  <c r="F28" i="3"/>
  <c r="E27" i="3"/>
  <c r="E28" i="3"/>
  <c r="D27" i="3"/>
  <c r="C27" i="3"/>
  <c r="D28" i="3"/>
  <c r="C29" i="3"/>
  <c r="L23" i="1"/>
  <c r="H12" i="2" s="1"/>
  <c r="E17" i="3"/>
  <c r="F17" i="3" s="1"/>
  <c r="J52" i="1"/>
  <c r="H13" i="2"/>
  <c r="F23" i="3"/>
  <c r="M24" i="1"/>
  <c r="J14" i="2"/>
  <c r="J77" i="4"/>
  <c r="O7" i="2" s="1"/>
  <c r="L77" i="4"/>
  <c r="Q7" i="2" s="1"/>
  <c r="I77" i="4"/>
  <c r="N7" i="2" s="1"/>
  <c r="H77" i="4"/>
  <c r="M7" i="2" s="1"/>
  <c r="F77" i="4"/>
  <c r="K7" i="2" s="1"/>
  <c r="E77" i="4"/>
  <c r="J7" i="2" s="1"/>
  <c r="M77" i="4"/>
  <c r="R7" i="2" s="1"/>
  <c r="K77" i="4"/>
  <c r="P7" i="2" s="1"/>
  <c r="B77" i="4"/>
  <c r="G7" i="2" s="1"/>
  <c r="G77" i="4"/>
  <c r="L7" i="2" s="1"/>
  <c r="N31" i="4"/>
  <c r="D77" i="4"/>
  <c r="I7" i="2" s="1"/>
  <c r="C77" i="4"/>
  <c r="H7" i="2" s="1"/>
  <c r="N74" i="4"/>
  <c r="M22" i="1" l="1"/>
  <c r="M23" i="1"/>
  <c r="K40" i="1"/>
  <c r="G17" i="2" s="1"/>
  <c r="D26" i="3"/>
  <c r="N24" i="1"/>
  <c r="J13" i="2" s="1"/>
  <c r="G23" i="3"/>
  <c r="I13" i="2"/>
  <c r="N22" i="1"/>
  <c r="G17" i="3"/>
  <c r="L14" i="2"/>
  <c r="K14" i="2"/>
  <c r="N23" i="1"/>
  <c r="N77" i="4"/>
  <c r="K48" i="1"/>
  <c r="K49" i="1" s="1"/>
  <c r="S7" i="2"/>
  <c r="J12" i="2" l="1"/>
  <c r="I12" i="2"/>
  <c r="D29" i="3"/>
  <c r="E26" i="3" s="1"/>
  <c r="E29" i="3" s="1"/>
  <c r="K45" i="1"/>
  <c r="K50" i="1" s="1"/>
  <c r="L48" i="1"/>
  <c r="L49" i="1" s="1"/>
  <c r="O24" i="1"/>
  <c r="K13" i="2" s="1"/>
  <c r="H23" i="3"/>
  <c r="O22" i="1"/>
  <c r="H17" i="3"/>
  <c r="S14" i="2"/>
  <c r="O23" i="1"/>
  <c r="G21" i="2"/>
  <c r="L40" i="1" l="1"/>
  <c r="L45" i="1" s="1"/>
  <c r="L50" i="1" s="1"/>
  <c r="M40" i="1"/>
  <c r="F26" i="3"/>
  <c r="F29" i="3" s="1"/>
  <c r="G26" i="3" s="1"/>
  <c r="G29" i="3" s="1"/>
  <c r="M48" i="1"/>
  <c r="N48" i="1" s="1"/>
  <c r="O48" i="1" s="1"/>
  <c r="P24" i="1"/>
  <c r="I23" i="3"/>
  <c r="I17" i="3"/>
  <c r="P22" i="1"/>
  <c r="P23" i="1"/>
  <c r="K12" i="2"/>
  <c r="G29" i="2"/>
  <c r="I17" i="2" l="1"/>
  <c r="I21" i="2" s="1"/>
  <c r="I29" i="2" s="1"/>
  <c r="H17" i="2"/>
  <c r="H21" i="2" s="1"/>
  <c r="H29" i="2" s="1"/>
  <c r="M45" i="1"/>
  <c r="N40" i="1"/>
  <c r="N45" i="1" s="1"/>
  <c r="N49" i="1"/>
  <c r="M49" i="1"/>
  <c r="Q24" i="1"/>
  <c r="M13" i="2" s="1"/>
  <c r="J23" i="3"/>
  <c r="L13" i="2"/>
  <c r="J17" i="3"/>
  <c r="Q22" i="1"/>
  <c r="Q23" i="1"/>
  <c r="L12" i="2"/>
  <c r="G33" i="2"/>
  <c r="K21" i="1" s="1"/>
  <c r="K20" i="1" s="1"/>
  <c r="O40" i="1"/>
  <c r="H26" i="3"/>
  <c r="H29" i="3" s="1"/>
  <c r="O49" i="1"/>
  <c r="P48" i="1"/>
  <c r="M50" i="1" l="1"/>
  <c r="J17" i="2"/>
  <c r="J21" i="2" s="1"/>
  <c r="K27" i="1"/>
  <c r="N50" i="1"/>
  <c r="R24" i="1"/>
  <c r="N13" i="2" s="1"/>
  <c r="K23" i="3"/>
  <c r="M12" i="2"/>
  <c r="K17" i="3"/>
  <c r="R22" i="1"/>
  <c r="R23" i="1"/>
  <c r="H31" i="2"/>
  <c r="H33" i="2" s="1"/>
  <c r="L21" i="1" s="1"/>
  <c r="L20" i="1" s="1"/>
  <c r="O45" i="1"/>
  <c r="O50" i="1" s="1"/>
  <c r="K17" i="2"/>
  <c r="K21" i="2" s="1"/>
  <c r="K29" i="2" s="1"/>
  <c r="P40" i="1"/>
  <c r="I26" i="3"/>
  <c r="I29" i="3" s="1"/>
  <c r="G35" i="2"/>
  <c r="Q48" i="1"/>
  <c r="P49" i="1"/>
  <c r="K36" i="1" l="1"/>
  <c r="K52" i="1" s="1"/>
  <c r="N12" i="2"/>
  <c r="L23" i="3"/>
  <c r="S24" i="1"/>
  <c r="O13" i="2" s="1"/>
  <c r="S22" i="1"/>
  <c r="L17" i="3"/>
  <c r="S23" i="1"/>
  <c r="L17" i="2"/>
  <c r="P45" i="1"/>
  <c r="P50" i="1" s="1"/>
  <c r="J29" i="2"/>
  <c r="Q40" i="1"/>
  <c r="J26" i="3"/>
  <c r="J29" i="3" s="1"/>
  <c r="I31" i="2"/>
  <c r="I33" i="2" s="1"/>
  <c r="M21" i="1" s="1"/>
  <c r="M20" i="1" s="1"/>
  <c r="L27" i="1"/>
  <c r="Q49" i="1"/>
  <c r="R48" i="1"/>
  <c r="H35" i="2"/>
  <c r="L36" i="1" l="1"/>
  <c r="L52" i="1" s="1"/>
  <c r="O12" i="2"/>
  <c r="M23" i="3"/>
  <c r="T24" i="1"/>
  <c r="T22" i="1"/>
  <c r="M17" i="3"/>
  <c r="T23" i="1"/>
  <c r="R40" i="1"/>
  <c r="K26" i="3"/>
  <c r="K29" i="3" s="1"/>
  <c r="M17" i="2"/>
  <c r="M21" i="2" s="1"/>
  <c r="M29" i="2" s="1"/>
  <c r="Q45" i="1"/>
  <c r="Q50" i="1" s="1"/>
  <c r="L21" i="2"/>
  <c r="S48" i="1"/>
  <c r="R49" i="1"/>
  <c r="I35" i="2" l="1"/>
  <c r="P12" i="2"/>
  <c r="N23" i="3"/>
  <c r="V24" i="1" s="1"/>
  <c r="U24" i="1"/>
  <c r="P13" i="2"/>
  <c r="N17" i="3"/>
  <c r="V22" i="1" s="1"/>
  <c r="U22" i="1"/>
  <c r="V23" i="1"/>
  <c r="U23" i="1"/>
  <c r="L26" i="3"/>
  <c r="L29" i="3" s="1"/>
  <c r="S40" i="1"/>
  <c r="L29" i="2"/>
  <c r="R45" i="1"/>
  <c r="R50" i="1" s="1"/>
  <c r="N17" i="2"/>
  <c r="T48" i="1"/>
  <c r="S49" i="1"/>
  <c r="M27" i="1"/>
  <c r="J31" i="2"/>
  <c r="J33" i="2" s="1"/>
  <c r="M36" i="1" l="1"/>
  <c r="M52" i="1" s="1"/>
  <c r="R13" i="2"/>
  <c r="Q12" i="2"/>
  <c r="Q13" i="2"/>
  <c r="R12" i="2"/>
  <c r="S45" i="1"/>
  <c r="S50" i="1" s="1"/>
  <c r="O17" i="2"/>
  <c r="O21" i="2" s="1"/>
  <c r="O29" i="2" s="1"/>
  <c r="N21" i="2"/>
  <c r="T40" i="1"/>
  <c r="M26" i="3"/>
  <c r="M29" i="3" s="1"/>
  <c r="T49" i="1"/>
  <c r="U48" i="1"/>
  <c r="N21" i="1"/>
  <c r="N20" i="1" s="1"/>
  <c r="S13" i="2" l="1"/>
  <c r="S12" i="2"/>
  <c r="N29" i="2"/>
  <c r="U40" i="1"/>
  <c r="N26" i="3"/>
  <c r="P17" i="2"/>
  <c r="P21" i="2" s="1"/>
  <c r="P29" i="2" s="1"/>
  <c r="T45" i="1"/>
  <c r="T50" i="1" s="1"/>
  <c r="K31" i="2"/>
  <c r="K33" i="2" s="1"/>
  <c r="N27" i="1"/>
  <c r="U49" i="1"/>
  <c r="V48" i="1"/>
  <c r="V49" i="1" s="1"/>
  <c r="J35" i="2"/>
  <c r="N36" i="1" l="1"/>
  <c r="N52" i="1" s="1"/>
  <c r="N29" i="3"/>
  <c r="V40" i="1" s="1"/>
  <c r="U45" i="1"/>
  <c r="U50" i="1" s="1"/>
  <c r="Q17" i="2"/>
  <c r="Q21" i="2" s="1"/>
  <c r="O21" i="1"/>
  <c r="O20" i="1" s="1"/>
  <c r="R17" i="2" l="1"/>
  <c r="S17" i="2" s="1"/>
  <c r="V45" i="1"/>
  <c r="V50" i="1" s="1"/>
  <c r="K35" i="2"/>
  <c r="Q29" i="2"/>
  <c r="L31" i="2"/>
  <c r="L33" i="2" s="1"/>
  <c r="O27" i="1"/>
  <c r="O36" i="1" l="1"/>
  <c r="O52" i="1" s="1"/>
  <c r="R21" i="2"/>
  <c r="R29" i="2" s="1"/>
  <c r="S29" i="2" s="1"/>
  <c r="P21" i="1"/>
  <c r="P20" i="1" s="1"/>
  <c r="S21" i="2" l="1"/>
  <c r="P27" i="1"/>
  <c r="M31" i="2"/>
  <c r="M33" i="2" s="1"/>
  <c r="L35" i="2"/>
  <c r="P36" i="1" l="1"/>
  <c r="P52" i="1" s="1"/>
  <c r="Q21" i="1"/>
  <c r="Q20" i="1" s="1"/>
  <c r="N31" i="2" l="1"/>
  <c r="N33" i="2" s="1"/>
  <c r="Q27" i="1"/>
  <c r="M35" i="2"/>
  <c r="Q36" i="1" l="1"/>
  <c r="Q52" i="1" s="1"/>
  <c r="R21" i="1"/>
  <c r="R20" i="1" s="1"/>
  <c r="R27" i="1" l="1"/>
  <c r="O31" i="2"/>
  <c r="O33" i="2" s="1"/>
  <c r="N35" i="2"/>
  <c r="R36" i="1" l="1"/>
  <c r="R52" i="1" s="1"/>
  <c r="S21" i="1"/>
  <c r="S20" i="1" s="1"/>
  <c r="P31" i="2" l="1"/>
  <c r="P33" i="2" s="1"/>
  <c r="S27" i="1"/>
  <c r="O35" i="2"/>
  <c r="S36" i="1" l="1"/>
  <c r="S52" i="1" s="1"/>
  <c r="T21" i="1"/>
  <c r="T20" i="1" s="1"/>
  <c r="T27" i="1" l="1"/>
  <c r="Q31" i="2"/>
  <c r="Q33" i="2" s="1"/>
  <c r="P35" i="2"/>
  <c r="T36" i="1" l="1"/>
  <c r="T52" i="1" s="1"/>
  <c r="U21" i="1"/>
  <c r="U20" i="1" s="1"/>
  <c r="R31" i="2" l="1"/>
  <c r="R33" i="2" s="1"/>
  <c r="U27" i="1"/>
  <c r="Q35" i="2"/>
  <c r="U36" i="1" l="1"/>
  <c r="U52" i="1" s="1"/>
  <c r="V21" i="1"/>
  <c r="V20" i="1" s="1"/>
  <c r="V27" i="1" l="1"/>
  <c r="R35" i="2"/>
  <c r="V36" i="1" l="1"/>
  <c r="V5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gross ($35,000 net), $1400/month from EXPO for admin support</t>
        </r>
      </text>
    </comment>
    <comment ref="I11" authorId="0" shapeId="0" xr:uid="{B8942FD9-6B2D-45EF-AEB3-F51DF80811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$2800 EXPO memberships?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$700/mo sustaining membership revenue</t>
        </r>
      </text>
    </comment>
    <comment ref="B13" authorId="0" shapeId="0" xr:uid="{D5256506-97AF-43BD-BFA9-C7A5530C1E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Qtr 4.2024 $3500 reimbursement</t>
        </r>
      </text>
    </comment>
    <comment ref="E13" authorId="0" shapeId="0" xr:uid="{CD9259B2-5994-4DFB-B6DA-7496F50CD49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19,160</t>
        </r>
      </text>
    </comment>
    <comment ref="H13" authorId="0" shapeId="0" xr:uid="{3BD5A8DA-063E-4131-8D70-811FF90F11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K13" authorId="0" shapeId="0" xr:uid="{6ACC2418-6C77-4981-8DE6-37718CEA8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2024</t>
        </r>
        <r>
          <rPr>
            <sz val="9"/>
            <color indexed="81"/>
            <rFont val="Tahoma"/>
            <family val="2"/>
          </rPr>
          <t>: 60% HRP billable ($3600/month), NRCS quarterly</t>
        </r>
      </text>
    </comment>
    <comment ref="B14" authorId="0" shapeId="0" xr:uid="{AAFC8AD4-865E-4E92-BAD2-76D3D908B4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2250, LYR 3000</t>
        </r>
      </text>
    </comment>
    <comment ref="C14" authorId="0" shapeId="0" xr:uid="{321A8B05-3AAC-4890-BBA9-E3729E8F3C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4170, LYR 85,670</t>
        </r>
      </text>
    </comment>
    <comment ref="D14" authorId="0" shapeId="0" xr:uid="{3D889E45-6D69-4427-A74F-0C23E8A751E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6385, LYR 87,670</t>
        </r>
      </text>
    </comment>
    <comment ref="E14" authorId="0" shapeId="0" xr:uid="{A8031F0E-ED3E-4843-9AD6-092C3EC0F4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5200, LYR 85,670</t>
        </r>
      </text>
    </comment>
    <comment ref="F14" authorId="0" shapeId="0" xr:uid="{3D6221CB-00F6-402E-A65A-ABA96E22377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3920, LYR 3000</t>
        </r>
      </text>
    </comment>
    <comment ref="G14" authorId="0" shapeId="0" xr:uid="{31CFBFF7-4490-4872-8951-CD7F321DC20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2600, LYR 3000</t>
        </r>
      </text>
    </comment>
    <comment ref="H14" authorId="0" shapeId="0" xr:uid="{908449FE-B851-4BA1-B110-A50AAC916E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2425, LYR 3000
</t>
        </r>
      </text>
    </comment>
    <comment ref="I14" authorId="0" shapeId="0" xr:uid="{BEDB75C0-7E99-461D-8FF7-51E3723EEE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5000</t>
        </r>
      </text>
    </comment>
    <comment ref="J14" authorId="0" shapeId="0" xr:uid="{CF3B73F9-8187-4624-81AD-14B8C08260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2380, LYR 3000</t>
        </r>
      </text>
    </comment>
    <comment ref="K14" authorId="0" shapeId="0" xr:uid="{5CB9340A-2842-4614-9AB4-C5052B6711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L14" authorId="0" shapeId="0" xr:uid="{89A2FDF4-21F5-424F-BC29-52EEBCC619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4670, LYR 89,340</t>
        </r>
      </text>
    </comment>
    <comment ref="M14" authorId="0" shapeId="0" xr:uid="{372BF085-299F-427A-98E9-5D552EDB1B9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4300, LYR 89,340</t>
        </r>
      </text>
    </comment>
    <comment ref="N14" authorId="0" shapeId="0" xr:uid="{3D073826-943F-4808-A51F-39E596E9A07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2024:</t>
        </r>
        <r>
          <rPr>
            <sz val="9"/>
            <color indexed="81"/>
            <rFont val="Tahoma"/>
            <family val="2"/>
          </rPr>
          <t xml:space="preserve"> PLE &amp; LYR</t>
        </r>
      </text>
    </comment>
    <comment ref="N15" authorId="0" shapeId="0" xr:uid="{9D779F0C-2E0A-4E88-B308-733CFEABF8C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N16" authorId="0" shapeId="0" xr:uid="{FD3CE8DE-D825-4BD1-817F-98BDCEDA0E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 Cooperative agreements</t>
        </r>
      </text>
    </comment>
    <comment ref="N24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expense (35,000 net)</t>
        </r>
      </text>
    </comment>
    <comment ref="C35" authorId="0" shapeId="0" xr:uid="{F7494E15-A7F1-46CF-BE7C-4D1D3E16B6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Monette $1000 bonus</t>
        </r>
      </text>
    </comment>
    <comment ref="B39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gifts</t>
        </r>
      </text>
    </comment>
    <comment ref="C46" authorId="0" shapeId="0" xr:uid="{30194A34-5203-4AFD-8883-F43F6C400A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Seibert</t>
        </r>
      </text>
    </comment>
    <comment ref="C50" authorId="0" shapeId="0" xr:uid="{AB865977-083A-4BD3-B41E-8AF14D1409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Boettcher $4k bonus, Ross $3k bonus</t>
        </r>
      </text>
    </comment>
    <comment ref="C53" authorId="0" shapeId="0" xr:uid="{4D26BA11-1BDF-413C-BB6E-9EBD09E0E35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HRP/Ziegler $2500 bonus, Rzchowski $2500 bonus billed to NRCS</t>
        </r>
      </text>
    </comment>
    <comment ref="N53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$6200 HRP estimate/ month, $86,660 NRCS/yr</t>
        </r>
      </text>
    </comment>
    <comment ref="B54" authorId="0" shapeId="0" xr:uid="{DF96ADDF-DE47-4E99-9A3C-E33C8E1F41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3140, LYR 3000</t>
        </r>
      </text>
    </comment>
    <comment ref="C54" authorId="0" shapeId="0" xr:uid="{A482B070-9DDF-41AC-9A54-D19538D1D5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5475, LYR 85,670, Pfost $1500 bonus billed to LYR</t>
        </r>
      </text>
    </comment>
    <comment ref="D54" authorId="0" shapeId="0" xr:uid="{8C7A9AD0-86B2-4A2B-88AC-83014BEBA4C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5050, LYR 87,670</t>
        </r>
      </text>
    </comment>
    <comment ref="E54" authorId="0" shapeId="0" xr:uid="{71D4F86A-498E-469D-9047-13D794C1530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6230, LYR 85,670</t>
        </r>
      </text>
    </comment>
    <comment ref="F54" authorId="0" shapeId="0" xr:uid="{6173432C-6BBA-432B-B713-0A3292EA04F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4575, LYR 3000</t>
        </r>
      </text>
    </comment>
    <comment ref="G54" authorId="0" shapeId="0" xr:uid="{83B15B01-49B0-4433-BAB6-697C309738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3000</t>
        </r>
      </text>
    </comment>
    <comment ref="H54" authorId="0" shapeId="0" xr:uid="{D0C9BAC7-6F12-4757-A14F-32712C150C8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4235, LYR 5000</t>
        </r>
      </text>
    </comment>
    <comment ref="I54" authorId="0" shapeId="0" xr:uid="{ED426B29-C255-43C9-97CB-77E94EAD3DE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2925, LYR 3000</t>
        </r>
      </text>
    </comment>
    <comment ref="J54" authorId="0" shapeId="0" xr:uid="{AD4DB179-DA39-4737-9104-48F96C6B15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3000, LYR 3000</t>
        </r>
      </text>
    </comment>
    <comment ref="K54" authorId="0" shapeId="0" xr:uid="{620AAEE9-6A3A-465E-BC5C-09A3D9BA3A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L54" authorId="0" shapeId="0" xr:uid="{FAEA2B0E-9BAC-4802-91F3-556442824D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5690, LYR 89,340</t>
        </r>
      </text>
    </comment>
    <comment ref="M54" authorId="0" shapeId="0" xr:uid="{92AD68FD-EB56-4B28-947C-D9C864797E2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5210, LYR 89,340
</t>
        </r>
      </text>
    </comment>
    <comment ref="N54" authorId="0" shapeId="0" xr:uid="{6267A50D-3266-4089-91F5-F693A19F2E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PLE, LYR</t>
        </r>
      </text>
    </comment>
    <comment ref="N55" authorId="0" shapeId="0" xr:uid="{2937FEEF-D696-4620-BBEC-610EACC9C1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B58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Final web payment</t>
        </r>
      </text>
    </comment>
    <comment ref="N58" authorId="0" shapeId="0" xr:uid="{966F4ABC-6F1F-4445-8F4E-0BF76DF00E5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$1000/month misc plus $400/month SwiftWaters for marketing, $800/mo March-Dec SHC lobbyist</t>
        </r>
      </text>
    </comment>
    <comment ref="C69" authorId="0" shapeId="0" xr:uid="{436B3713-BB1B-4898-B86D-D793C83D7E4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$2100 progress billing FY24 reports</t>
        </r>
      </text>
    </comment>
    <comment ref="D69" authorId="0" shapeId="0" xr:uid="{A84A2257-E909-4D71-BFC6-85848CADA41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progress billing FY24 reports</t>
        </r>
      </text>
    </comment>
    <comment ref="E69" authorId="0" shapeId="0" xr:uid="{52D3F721-AF89-4E24-BF0F-71B3A1D2EEB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Progress billing LYR audit prep</t>
        </r>
      </text>
    </comment>
    <comment ref="L69" authorId="0" shapeId="0" xr:uid="{151BF855-9C31-46EC-A85D-B11A83C67AB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</t>
        </r>
      </text>
    </comment>
    <comment ref="N69" authorId="0" shapeId="0" xr:uid="{DC70EC37-B487-4745-9D0C-6A23FF8D6D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$6800 annual reports ($4k expensed to LYR grant)</t>
        </r>
      </text>
    </comment>
    <comment ref="N71" authorId="0" shapeId="0" xr:uid="{3BF3FDFB-DF80-49F2-A19C-5642495EB9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GGBCF loss/gain based off avg of FY24 #s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48329CE1-825E-4B19-8CAF-2A752302D9F9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$100,000 board restricted</t>
        </r>
      </text>
    </comment>
    <comment ref="J13" authorId="1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0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J22" authorId="0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5" authorId="0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2026 calendar printing</t>
        </r>
      </text>
    </comment>
    <comment ref="J26" authorId="0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41" authorId="1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2023/24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4" authorId="0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0" shapeId="0" xr:uid="{2A323500-BD95-46D1-A259-D146944BE29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0" shapeId="0" xr:uid="{C2AED7CA-72D2-4820-AAF4-137DDE08D4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$10,000 grant, waiting on paperwork for additional funds, invoice submitted</t>
        </r>
      </text>
    </comment>
    <comment ref="E6" authorId="0" shapeId="0" xr:uid="{54E27127-A363-42BF-BF62-6399E922045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Sub, staff &amp; $2k acccountants</t>
        </r>
      </text>
    </comment>
    <comment ref="I6" authorId="0" shapeId="0" xr:uid="{3E7C9E1A-F9E8-4566-950A-362C9E5BB8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Staff &amp; $2k accountant</t>
        </r>
      </text>
    </comment>
    <comment ref="A9" authorId="0" shapeId="0" xr:uid="{CBCF86DB-BF9F-46CA-854C-856DAFF176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$201,181 grant</t>
        </r>
      </text>
    </comment>
    <comment ref="A10" authorId="0" shapeId="0" xr:uid="{1D5999F2-9A33-4FC6-A9A7-E0AF93A0EC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grant</t>
        </r>
      </text>
    </comment>
    <comment ref="C28" authorId="1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8" authorId="0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8" authorId="1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8" authorId="0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I4" authorId="0" shapeId="0" xr:uid="{13F68C3F-1AE5-4994-89D9-92CCF1BF4C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$1100 calendar sales, $10,000 statewide raffle net</t>
        </r>
      </text>
    </comment>
    <comment ref="J4" authorId="0" shapeId="0" xr:uid="{EBE1764A-4547-4442-B313-66637D8B6A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calendar sales</t>
        </r>
      </text>
    </comment>
    <comment ref="I5" authorId="0" shapeId="0" xr:uid="{66748487-0EA9-40C8-8835-9467935058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WWA EXPO booth income</t>
        </r>
      </text>
    </comment>
    <comment ref="B7" authorId="0" shapeId="0" xr:uid="{6A7462B3-E57F-4526-B8C5-D732BB1C409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Qtr 4.2024 $3500 reimbursement</t>
        </r>
      </text>
    </comment>
    <comment ref="D7" authorId="0" shapeId="0" xr:uid="{8A9D36E3-4331-4557-A689-2340F1FF838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NRCS</t>
        </r>
      </text>
    </comment>
    <comment ref="G7" authorId="0" shapeId="0" xr:uid="{BCE6D233-224F-45CC-97CC-9F53E40FEB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NRCS</t>
        </r>
      </text>
    </comment>
    <comment ref="B8" authorId="0" shapeId="0" xr:uid="{6E631454-F840-4D04-8BBC-64CAD8D376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2250, LYR 3000</t>
        </r>
      </text>
    </comment>
    <comment ref="C8" authorId="0" shapeId="0" xr:uid="{2AEA175C-43DB-4441-99CC-A6E288F3C4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to PLE program from EXPO</t>
        </r>
      </text>
    </comment>
    <comment ref="E8" authorId="0" shapeId="0" xr:uid="{E230759A-B301-4819-9822-AC08869812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$3500 to PLE program from EXPO</t>
        </r>
      </text>
    </comment>
    <comment ref="H9" authorId="0" shapeId="0" xr:uid="{1B8734D0-E5FE-4EA3-8ED9-A3AD414B2F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Booths, sponsorships</t>
        </r>
      </text>
    </comment>
    <comment ref="I9" authorId="0" shapeId="0" xr:uid="{7E9DE79C-6970-40DC-BB3A-5F79F6F6641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pre-event booths, electric, etc, $22,000 day-of income</t>
        </r>
      </text>
    </comment>
    <comment ref="L27" authorId="0" shapeId="0" xr:uid="{8C4EB154-2A34-45B0-B160-2AADEF0E59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C29" authorId="0" shapeId="0" xr:uid="{3C22478A-C7ED-437B-B9E4-8A2DB65BC54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Monette $1200 bonus</t>
        </r>
      </text>
    </comment>
    <comment ref="B33" authorId="0" shapeId="0" xr:uid="{DF10AF74-B685-4FAC-BA92-52A4C626FA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gifts</t>
        </r>
      </text>
    </comment>
    <comment ref="C44" authorId="0" shapeId="0" xr:uid="{62618E24-A316-47F4-80BB-B6ECE51925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Pfost $800, Boettcher $2000, Ross $1000 bonuses</t>
        </r>
      </text>
    </comment>
    <comment ref="K44" authorId="0" shapeId="0" xr:uid="{A7F6099F-9D06-4327-B94E-10F367A0D1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D46" authorId="0" shapeId="0" xr:uid="{0BC78A54-D9BA-4E27-98B6-5C0CAE250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$130 PO rent</t>
        </r>
      </text>
    </comment>
    <comment ref="E46" authorId="0" shapeId="0" xr:uid="{B79DD71E-FB94-4073-9D1E-E85769082A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$125 meter rental, $2000 chapter grants</t>
        </r>
      </text>
    </comment>
    <comment ref="F46" authorId="0" shapeId="0" xr:uid="{8FA6CF9A-4769-4F9D-832F-E3E35A0AA2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wood duck box shipping</t>
        </r>
      </text>
    </comment>
    <comment ref="C47" authorId="0" shapeId="0" xr:uid="{8F442ECB-AF1A-4640-A72E-ABA9DC3957D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$1000 "bonus"</t>
        </r>
      </text>
    </comment>
    <comment ref="H47" authorId="0" shapeId="0" xr:uid="{A2CA38FF-7011-4549-BAC1-26D3ED81C70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Marketing, insurance, volunteer shirts</t>
        </r>
      </text>
    </comment>
    <comment ref="I47" authorId="0" shapeId="0" xr:uid="{2C175519-07E7-451C-A634-F41107A87E2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B48" authorId="0" shapeId="0" xr:uid="{A569893C-6B76-43D6-9AB8-AA942AF47C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3140, LYR 3000</t>
        </r>
      </text>
    </comment>
    <comment ref="I48" authorId="0" shapeId="0" xr:uid="{0951B393-EB80-47B5-8828-0DFF850E93A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L48" authorId="0" shapeId="0" xr:uid="{909A5C2D-F2F9-4156-8527-A684350B5C5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B52" authorId="0" shapeId="0" xr:uid="{8652E682-CF32-4717-B489-D8333E617C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Final web payment</t>
        </r>
      </text>
    </comment>
    <comment ref="C63" authorId="0" shapeId="0" xr:uid="{A592EFC9-0CAE-429D-B499-37D882C833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$2100 compilation progress billing</t>
        </r>
      </text>
    </comment>
    <comment ref="D63" authorId="0" shapeId="0" xr:uid="{AF8C52E3-4A54-4B06-8947-198844B25A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$2730 compilation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58630064-1A8D-4877-B0D2-44EE04D5E72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BD3B9DB8-9340-4C29-85CF-7F64B475198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95937378-8375-4E48-BFA4-487BC1F90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$56,405 grant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978742E6-2990-4566-A13E-267C5B2E41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" authorId="0" shapeId="0" xr:uid="{70F10D87-1622-4EF9-9BF1-8AB47911567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Sub, staff &amp; $2k acccountants</t>
        </r>
      </text>
    </comment>
    <comment ref="I4" authorId="0" shapeId="0" xr:uid="{9C170FB2-418D-4D90-8E5D-28803A6D469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Staff &amp; $2k accountant</t>
        </r>
      </text>
    </comment>
    <comment ref="D5" authorId="0" shapeId="0" xr:uid="{756B65BB-10B3-41DD-B27A-83C2E7B9D5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$248,000 sub budget FY 25. Subcontractor invoices reimbursed via ASAP upon receipt</t>
        </r>
      </text>
    </comment>
    <comment ref="M5" authorId="0" shapeId="0" xr:uid="{BC4E9F13-DF90-4469-889C-92DF1FAAD70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FY 2026 $518,000 subcontractor budget divided by 6 months Nov 25 - April 26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857D0AFA-641F-4D5E-B965-B697ECB77E2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$90,000 to spend</t>
        </r>
      </text>
    </comment>
    <comment ref="C4" authorId="0" shapeId="0" xr:uid="{6D0EAB24-C318-4C5A-9598-56AA202833C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90% of Anna's full comp &amp; 10% Mark Jan-April 2025, $15k/year travel, Anna FY24 May-Dec</t>
        </r>
      </text>
    </comment>
    <comment ref="E4" authorId="0" shapeId="0" xr:uid="{BAB788A0-295F-4067-96D4-C1C6621278E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New hire 80% of $51k/yr salary March - Dec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2D1D499C-00E7-4861-AF98-993B5BD6C90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A4" authorId="0" shapeId="0" xr:uid="{C3091FEA-8789-4CF9-905F-083D31564D9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grant, $34,862 balance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<sst xmlns="http://schemas.openxmlformats.org/spreadsheetml/2006/main" count="401" uniqueCount="170">
  <si>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</si>
  <si>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</si>
  <si>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</si>
  <si>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</si>
  <si>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</si>
  <si>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</si>
  <si>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</si>
  <si>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</si>
  <si>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</si>
  <si>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</si>
  <si>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</si>
  <si>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</si>
  <si>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</si>
  <si>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</si>
  <si>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</si>
  <si>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</si>
  <si>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</si>
  <si>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</si>
  <si>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</si>
  <si>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</si>
  <si>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</si>
  <si>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</si>
  <si>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</si>
  <si>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</si>
  <si>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</si>
  <si>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</si>
  <si>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</si>
  <si>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</si>
  <si>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</si>
  <si>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</si>
  <si>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</si>
  <si>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</si>
  <si>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</si>
  <si>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</si>
  <si>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</si>
  <si>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</si>
  <si>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</si>
  <si>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</si>
  <si>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</si>
  <si>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</si>
  <si>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</si>
  <si>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</si>
  <si>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</si>
  <si>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</si>
  <si>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</si>
  <si>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</si>
  <si>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</si>
  <si>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</si>
  <si>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</si>
  <si>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</si>
  <si>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</si>
  <si>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</si>
  <si>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</si>
  <si>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</si>
  <si>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</si>
  <si>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</si>
  <si>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</si>
  <si>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</si>
  <si>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</si>
  <si>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</si>
  <si>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</si>
  <si>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</si>
  <si>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</si>
  <si>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</si>
  <si>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</si>
  <si>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</si>
  <si>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</si>
  <si>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</si>
  <si>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</si>
  <si>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</si>
  <si>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</si>
  <si>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</si>
  <si>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</si>
  <si>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</si>
  <si>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</si>
  <si>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</si>
  <si>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</si>
  <si>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</si>
  <si>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</si>
  <si>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</si>
  <si>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</si>
  <si>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</si>
  <si>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</si>
  <si>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</si>
  <si>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</si>
  <si>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</si>
  <si>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</si>
  <si>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</si>
  <si>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</si>
  <si>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</si>
  <si>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</si>
  <si>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</si>
  <si>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</si>
  <si>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</si>
  <si>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</si>
  <si>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</si>
  <si>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</si>
  <si>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</si>
  <si>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</si>
  <si>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</si>
  <si>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</si>
  <si>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</si>
  <si>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</si>
  <si>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</si>
  <si>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</si>
  <si>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</si>
  <si>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</si>
  <si>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</si>
  <si>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</si>
  <si>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</si>
  <si>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</si>
  <si>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</si>
  <si>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</si>
  <si>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</si>
  <si>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</si>
  <si>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</si>
  <si>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</si>
  <si>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</si>
  <si>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Education</t>
  </si>
  <si>
    <t>Abrams restricted</t>
  </si>
  <si>
    <t>Minus Inventory used - $1000 ea.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</si>
  <si>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</si>
  <si>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</si>
  <si>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</si>
  <si>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</si>
  <si>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</si>
  <si>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</si>
  <si>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</si>
  <si>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</si>
  <si>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</si>
  <si>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</si>
  <si>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EXPO restricted</t>
  </si>
  <si>
    <t>EXPO</t>
  </si>
  <si>
    <t>EXPO revenue</t>
  </si>
  <si>
    <t>Chapter Loan restricted</t>
  </si>
  <si>
    <t>Raffle restricted</t>
  </si>
  <si>
    <t xml:space="preserve"> </t>
  </si>
  <si>
    <t>Duck Stamp 2022</t>
  </si>
  <si>
    <t>R3 Learn to Hunt</t>
  </si>
  <si>
    <t>Public Lands Biologist</t>
  </si>
  <si>
    <t xml:space="preserve">AR Grant Payments </t>
  </si>
  <si>
    <t>PLE restricted</t>
  </si>
  <si>
    <t>NRCS</t>
  </si>
  <si>
    <t>NAWCA</t>
  </si>
  <si>
    <t>Duck Stamp 2023</t>
  </si>
  <si>
    <t>USFWS  revenue</t>
  </si>
  <si>
    <t>Public Lands revenue</t>
  </si>
  <si>
    <t>Private Lands revenue</t>
  </si>
  <si>
    <t>Other Program Grant revenue</t>
  </si>
  <si>
    <t>Private Lands</t>
  </si>
  <si>
    <t>Public Lands</t>
  </si>
  <si>
    <t>USFWS</t>
  </si>
  <si>
    <t>Other Program Grants</t>
  </si>
  <si>
    <t>2024 Actuals</t>
  </si>
  <si>
    <t>12.31.24</t>
  </si>
  <si>
    <t>AR Grants Payments</t>
  </si>
  <si>
    <t>R3 2024</t>
  </si>
  <si>
    <t>Use 2024 #s on P&amp;L</t>
  </si>
  <si>
    <t>PLE</t>
  </si>
  <si>
    <t>Use 2024 #s on P&amp;L but remove Pfost</t>
  </si>
  <si>
    <t>Pfost 2024 time increased to $28.85/hr</t>
  </si>
  <si>
    <t>LYR</t>
  </si>
  <si>
    <t>12.30.24</t>
  </si>
  <si>
    <t>Duck Stamp 2025</t>
  </si>
  <si>
    <t>Little Yellow River</t>
  </si>
  <si>
    <t xml:space="preserve">2025 Budget </t>
  </si>
  <si>
    <t xml:space="preserve">Money Market </t>
  </si>
  <si>
    <t>Other Assets - Rent deposit</t>
  </si>
  <si>
    <t>Other Assets - Endowment Fund</t>
  </si>
  <si>
    <t>2025 Budget - Draft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</si>
</sst>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7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166" fontId="0" fillId="0" borderId="0" xfId="1" applyNumberFormat="1" applyFont="1"/>
    <xf numFmtId="3" fontId="1" fillId="0" borderId="8" xfId="1" applyNumberFormat="1" applyBorder="1"/>
    <xf numFmtId="3" fontId="1" fillId="0" borderId="10" xfId="1" applyNumberForma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0" fontId="9" fillId="0" borderId="0" xfId="0" applyFont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Border="1"/>
    <xf numFmtId="3" fontId="1" fillId="0" borderId="0" xfId="1" applyNumberFormat="1" applyBorder="1"/>
    <xf numFmtId="166" fontId="1" fillId="0" borderId="0" xfId="1" applyNumberFormat="1" applyFill="1" applyAlignment="1">
      <alignment horizontal="right"/>
    </xf>
    <xf numFmtId="0" fontId="9" fillId="0" borderId="7" xfId="0" applyFont="1" applyBorder="1" applyAlignment="1">
      <alignment horizontal="right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9" fillId="0" borderId="20" xfId="0" applyFont="1" applyBorder="1" applyAlignment="1">
      <alignment horizontal="right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1" fillId="0" borderId="7" xfId="0" applyNumberFormat="1" applyFont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70" fontId="1" fillId="0" borderId="8" xfId="0" applyNumberFormat="1" applyFont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170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right"/>
    </xf>
    <xf numFmtId="166" fontId="4" fillId="0" borderId="0" xfId="1" applyNumberFormat="1" applyFont="1" applyFill="1"/>
    <xf numFmtId="0" fontId="2" fillId="0" borderId="0" xfId="0" applyFont="1"/>
    <xf numFmtId="166" fontId="18" fillId="0" borderId="0" xfId="1" applyNumberFormat="1" applyFont="1" applyFill="1" applyAlignment="1">
      <alignment horizontal="right"/>
    </xf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3" fontId="1" fillId="0" borderId="0" xfId="1" applyNumberFormat="1" applyFont="1" applyFill="1" applyBorder="1"/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3" fontId="10" fillId="0" borderId="0" xfId="1" applyNumberFormat="1" applyFont="1" applyFill="1" applyBorder="1"/>
    <xf numFmtId="3" fontId="1" fillId="0" borderId="8" xfId="1" applyNumberFormat="1" applyFont="1" applyFill="1" applyBorder="1"/>
    <xf numFmtId="3" fontId="1" fillId="0" borderId="21" xfId="1" applyNumberFormat="1" applyFont="1" applyFill="1" applyBorder="1"/>
    <xf numFmtId="3" fontId="2" fillId="0" borderId="22" xfId="1" applyNumberFormat="1" applyFont="1" applyFill="1" applyBorder="1"/>
    <xf numFmtId="3" fontId="2" fillId="0" borderId="21" xfId="1" applyNumberFormat="1" applyFont="1" applyFill="1" applyBorder="1"/>
    <xf numFmtId="171" fontId="1" fillId="0" borderId="21" xfId="1" applyNumberFormat="1" applyFont="1" applyFill="1" applyBorder="1"/>
    <xf numFmtId="167" fontId="14" fillId="0" borderId="21" xfId="2" applyNumberFormat="1" applyFont="1" applyFill="1" applyBorder="1"/>
    <xf numFmtId="3" fontId="10" fillId="0" borderId="21" xfId="1" applyNumberFormat="1" applyFont="1" applyFill="1" applyBorder="1"/>
    <xf numFmtId="3" fontId="2" fillId="0" borderId="23" xfId="0" applyNumberFormat="1" applyFont="1" applyBorder="1"/>
    <xf numFmtId="44" fontId="1" fillId="0" borderId="0" xfId="1" applyNumberFormat="1" applyFill="1" applyBorder="1"/>
    <xf numFmtId="0" fontId="11" fillId="0" borderId="0" xfId="0" applyFont="1"/>
    <xf numFmtId="44" fontId="0" fillId="0" borderId="0" xfId="0" applyNumberFormat="1"/>
    <xf numFmtId="0" fontId="20" fillId="0" borderId="0" xfId="0" applyFont="1"/>
    <xf numFmtId="44" fontId="2" fillId="0" borderId="0" xfId="3" applyFont="1" applyFill="1"/>
    <xf numFmtId="44" fontId="20" fillId="0" borderId="0" xfId="3" applyFont="1" applyFill="1"/>
    <xf numFmtId="0" fontId="18" fillId="0" borderId="0" xfId="0" applyFont="1"/>
    <xf numFmtId="44" fontId="18" fillId="0" borderId="0" xfId="3" applyFont="1" applyFill="1"/>
    <xf numFmtId="165" fontId="4" fillId="0" borderId="0" xfId="0" applyNumberFormat="1" applyFont="1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  <xf numFmtId="165" fontId="19" fillId="0" borderId="0" xfId="0" applyNumberFormat="1" applyFont="1"/>
    <xf numFmtId="166" fontId="1" fillId="0" borderId="0" xfId="0" applyNumberFormat="1" applyFont="1"/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3" fontId="1" fillId="0" borderId="9" xfId="1" applyNumberFormat="1" applyFont="1" applyFill="1" applyBorder="1"/>
    <xf numFmtId="3" fontId="10" fillId="0" borderId="8" xfId="1" applyNumberFormat="1" applyFont="1" applyFill="1" applyBorder="1"/>
    <xf numFmtId="170" fontId="1" fillId="2" borderId="7" xfId="0" applyNumberFormat="1" applyFont="1" applyFill="1" applyBorder="1" applyAlignment="1">
      <alignment horizontal="center"/>
    </xf>
    <xf numFmtId="44" fontId="0" fillId="0" borderId="0" xfId="3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4" fontId="1" fillId="0" borderId="0" xfId="0" applyNumberFormat="1" applyFont="1" applyAlignment="1">
      <alignment horizontal="left"/>
    </xf>
    <xf numFmtId="165" fontId="5" fillId="0" borderId="0" xfId="0" applyNumberFormat="1" applyFont="1"/>
    <xf numFmtId="165" fontId="1" fillId="0" borderId="0" xfId="0" applyNumberFormat="1" applyFont="1" applyAlignment="1">
      <alignment horizontal="left" indent="1"/>
    </xf>
    <xf numFmtId="0" fontId="7" fillId="0" borderId="0" xfId="0" applyFont="1"/>
    <xf numFmtId="164" fontId="12" fillId="0" borderId="4" xfId="0" applyNumberFormat="1" applyFont="1" applyBorder="1" applyAlignment="1">
      <alignment horizontal="center"/>
    </xf>
    <xf numFmtId="166" fontId="1" fillId="0" borderId="0" xfId="1" applyNumberFormat="1" applyFont="1" applyFill="1" applyAlignment="1">
      <alignment horizontal="right"/>
    </xf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</cellXfs>
  <cellStyles count="5">
    <cellStyle name="Comma" xfId="1" builtinId="3"/>
    <cellStyle name="Currency" xfId="3" builtinId="4"/>
    <cellStyle name="Currency 2" xfId="4" xr:uid="{DDDBF24A-24B0-4227-BEB4-454383FDF546}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7"/>
  <sheetViews>
    <sheetView zoomScale="85" zoomScaleNormal="85" workbookViewId="0">
      <selection activeCell="B9" sqref="B9:B77"/>
    </sheetView>
  </sheetViews>
  <sheetFormatPr defaultColWidth="9.109375" defaultRowHeight="13.2" x14ac:dyDescent="0.25"/>
  <cols>
    <col min="1" max="1" width="26.109375" customWidth="1"/>
    <col min="2" max="14" width="10.6640625" customWidth="1"/>
    <col min="15" max="15" width="4.33203125" customWidth="1"/>
    <col min="16" max="16" width="12.88671875" style="39" customWidth="1"/>
    <col min="17" max="17" width="14" customWidth="1"/>
  </cols>
  <sheetData>
    <row r="1" spans="1:17" x14ac:dyDescent="0.25">
      <c r="A1" s="152" t="s">
        <v>20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</row>
    <row r="2" spans="1:17" x14ac:dyDescent="0.25">
      <c r="A2" s="152" t="s">
        <v>64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</row>
    <row r="3" spans="1:17" x14ac:dyDescent="0.25">
      <c r="A3" s="153" t="s">
        <v>169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</row>
    <row r="4" spans="1:17" x14ac:dyDescent="0.25">
      <c r="B4" s="152"/>
      <c r="C4" s="152"/>
      <c r="D4" s="152"/>
      <c r="E4" s="152"/>
      <c r="F4" s="152"/>
      <c r="G4" s="152"/>
      <c r="H4" s="152"/>
      <c r="I4" s="152"/>
      <c r="J4" s="152"/>
    </row>
    <row r="5" spans="1:17" ht="13.8" thickBot="1" x14ac:dyDescent="0.3">
      <c r="B5" s="4"/>
      <c r="P5" s="40"/>
    </row>
    <row r="6" spans="1:17" ht="14.4" thickTop="1" x14ac:dyDescent="0.25">
      <c r="A6" s="150" t="s">
        <v>165</v>
      </c>
      <c r="B6" s="112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4"/>
      <c r="P6" s="41" t="s">
        <v>153</v>
      </c>
    </row>
    <row r="7" spans="1:17" x14ac:dyDescent="0.25">
      <c r="A7" s="42"/>
      <c r="B7" s="43" t="s">
        <v>51</v>
      </c>
      <c r="C7" s="22" t="s">
        <v>52</v>
      </c>
      <c r="D7" s="22" t="s">
        <v>53</v>
      </c>
      <c r="E7" s="22" t="s">
        <v>54</v>
      </c>
      <c r="F7" s="22" t="s">
        <v>55</v>
      </c>
      <c r="G7" s="22" t="s">
        <v>56</v>
      </c>
      <c r="H7" s="22" t="s">
        <v>57</v>
      </c>
      <c r="I7" s="22" t="s">
        <v>58</v>
      </c>
      <c r="J7" s="22" t="s">
        <v>59</v>
      </c>
      <c r="K7" s="22" t="s">
        <v>60</v>
      </c>
      <c r="L7" s="22" t="s">
        <v>61</v>
      </c>
      <c r="M7" s="22" t="s">
        <v>50</v>
      </c>
      <c r="N7" s="44" t="s">
        <v>62</v>
      </c>
      <c r="P7" s="36" t="s">
        <v>154</v>
      </c>
      <c r="Q7" s="22"/>
    </row>
    <row r="8" spans="1:17" x14ac:dyDescent="0.25">
      <c r="A8" s="45" t="s">
        <v>65</v>
      </c>
      <c r="B8" s="46"/>
      <c r="N8" s="47"/>
      <c r="P8" s="48"/>
    </row>
    <row r="9" spans="1:17" x14ac:dyDescent="0.25">
      <c r="A9" s="49" t="s">
        <v>66</v>
      </c>
      <c r="B9" s="50">
        <v>0</v>
      </c>
      <c r="C9" s="23">
        <v>1750</v>
      </c>
      <c r="D9" s="23">
        <v>5000</v>
      </c>
      <c r="E9" s="23">
        <v>158000</v>
      </c>
      <c r="F9" s="23">
        <v>52500</v>
      </c>
      <c r="G9" s="23">
        <v>34500</v>
      </c>
      <c r="H9" s="23">
        <v>15750</v>
      </c>
      <c r="I9" s="23">
        <v>49250</v>
      </c>
      <c r="J9" s="23">
        <v>56750</v>
      </c>
      <c r="K9" s="23">
        <v>17500</v>
      </c>
      <c r="L9" s="23">
        <v>19250</v>
      </c>
      <c r="M9" s="23">
        <v>48750</v>
      </c>
      <c r="N9" s="51">
        <f>SUM(B9:M9)</f>
        <v>459000</v>
      </c>
      <c r="P9" s="117">
        <v>425172</v>
      </c>
    </row>
    <row r="10" spans="1:17" x14ac:dyDescent="0.25">
      <c r="A10" s="49" t="s">
        <v>67</v>
      </c>
      <c r="B10" s="50">
        <v>1400</v>
      </c>
      <c r="C10" s="38">
        <v>1400</v>
      </c>
      <c r="D10" s="38">
        <v>1400</v>
      </c>
      <c r="E10" s="38">
        <v>1400</v>
      </c>
      <c r="F10" s="38">
        <v>1400</v>
      </c>
      <c r="G10" s="38">
        <v>1400</v>
      </c>
      <c r="H10" s="38">
        <v>2150</v>
      </c>
      <c r="I10" s="38">
        <v>8800</v>
      </c>
      <c r="J10" s="38">
        <v>5700</v>
      </c>
      <c r="K10" s="38">
        <v>22400</v>
      </c>
      <c r="L10" s="38">
        <v>16400</v>
      </c>
      <c r="M10" s="38">
        <v>45500</v>
      </c>
      <c r="N10" s="51">
        <f t="shared" ref="N10:N18" si="0">SUM(B10:M10)</f>
        <v>109350</v>
      </c>
      <c r="P10" s="117">
        <v>147966</v>
      </c>
    </row>
    <row r="11" spans="1:17" x14ac:dyDescent="0.25">
      <c r="A11" s="49" t="s">
        <v>68</v>
      </c>
      <c r="B11" s="100">
        <v>1200</v>
      </c>
      <c r="C11" s="101">
        <v>950</v>
      </c>
      <c r="D11" s="101">
        <v>2000</v>
      </c>
      <c r="E11" s="101">
        <v>2000</v>
      </c>
      <c r="F11" s="101">
        <v>1100</v>
      </c>
      <c r="G11" s="101">
        <v>750</v>
      </c>
      <c r="H11" s="101">
        <v>1300</v>
      </c>
      <c r="I11" s="101">
        <v>4500</v>
      </c>
      <c r="J11" s="101">
        <v>835</v>
      </c>
      <c r="K11" s="101">
        <v>1100</v>
      </c>
      <c r="L11" s="111">
        <v>900</v>
      </c>
      <c r="M11" s="101">
        <v>900</v>
      </c>
      <c r="N11" s="51">
        <f>SUM(B11:M11)</f>
        <v>17535</v>
      </c>
      <c r="P11" s="117">
        <v>32436</v>
      </c>
    </row>
    <row r="12" spans="1:17" x14ac:dyDescent="0.25">
      <c r="A12" s="49" t="s">
        <v>69</v>
      </c>
      <c r="B12" s="50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51">
        <f>SUM(B12:M12)</f>
        <v>0</v>
      </c>
      <c r="P12" s="117">
        <v>0</v>
      </c>
    </row>
    <row r="13" spans="1:17" s="4" customFormat="1" x14ac:dyDescent="0.25">
      <c r="A13" s="49" t="s">
        <v>147</v>
      </c>
      <c r="B13" s="9">
        <v>7100</v>
      </c>
      <c r="C13" s="34">
        <v>3600</v>
      </c>
      <c r="D13" s="34">
        <v>3600</v>
      </c>
      <c r="E13" s="38">
        <v>22760</v>
      </c>
      <c r="F13" s="38">
        <v>3600</v>
      </c>
      <c r="G13" s="38">
        <v>3600</v>
      </c>
      <c r="H13" s="38">
        <v>26100</v>
      </c>
      <c r="I13" s="38">
        <v>3600</v>
      </c>
      <c r="J13" s="38">
        <v>3600</v>
      </c>
      <c r="K13" s="38">
        <v>26100</v>
      </c>
      <c r="L13" s="38">
        <v>3600</v>
      </c>
      <c r="M13" s="34">
        <v>3600</v>
      </c>
      <c r="N13" s="10">
        <f>SUM(B13:M13)</f>
        <v>110860</v>
      </c>
      <c r="P13" s="117">
        <v>60475</v>
      </c>
    </row>
    <row r="14" spans="1:17" s="4" customFormat="1" x14ac:dyDescent="0.25">
      <c r="A14" s="49" t="s">
        <v>146</v>
      </c>
      <c r="B14" s="9">
        <v>5250</v>
      </c>
      <c r="C14" s="34">
        <v>89840</v>
      </c>
      <c r="D14" s="34">
        <v>94055</v>
      </c>
      <c r="E14" s="38">
        <v>90870</v>
      </c>
      <c r="F14" s="38">
        <v>6920</v>
      </c>
      <c r="G14" s="38">
        <v>5600</v>
      </c>
      <c r="H14" s="38">
        <v>5425</v>
      </c>
      <c r="I14" s="38">
        <v>8125</v>
      </c>
      <c r="J14" s="38">
        <v>5380</v>
      </c>
      <c r="K14" s="38">
        <v>8000</v>
      </c>
      <c r="L14" s="38">
        <v>94010</v>
      </c>
      <c r="M14" s="34">
        <v>93640</v>
      </c>
      <c r="N14" s="10">
        <f>SUM(B14:M14)</f>
        <v>507115</v>
      </c>
      <c r="P14" s="117">
        <v>77197</v>
      </c>
    </row>
    <row r="15" spans="1:17" s="4" customFormat="1" x14ac:dyDescent="0.25">
      <c r="A15" s="49" t="s">
        <v>148</v>
      </c>
      <c r="B15" s="9">
        <v>0</v>
      </c>
      <c r="C15" s="34">
        <v>0</v>
      </c>
      <c r="D15" s="34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4">
        <v>13000</v>
      </c>
      <c r="N15" s="10">
        <f>SUM(B15:M15)</f>
        <v>13000</v>
      </c>
      <c r="P15" s="117">
        <v>17690</v>
      </c>
    </row>
    <row r="16" spans="1:17" x14ac:dyDescent="0.25">
      <c r="A16" s="49" t="s">
        <v>145</v>
      </c>
      <c r="B16" s="116">
        <v>2300</v>
      </c>
      <c r="C16" s="111">
        <v>8000</v>
      </c>
      <c r="D16" s="111">
        <v>3000</v>
      </c>
      <c r="E16" s="111">
        <v>6000</v>
      </c>
      <c r="F16" s="111">
        <v>30000</v>
      </c>
      <c r="G16" s="111">
        <v>9000</v>
      </c>
      <c r="H16" s="111">
        <v>5000</v>
      </c>
      <c r="I16" s="111">
        <v>9000</v>
      </c>
      <c r="J16" s="111">
        <v>37000</v>
      </c>
      <c r="K16" s="111">
        <v>6500</v>
      </c>
      <c r="L16" s="111">
        <v>9500</v>
      </c>
      <c r="M16" s="38">
        <v>7000</v>
      </c>
      <c r="N16" s="51">
        <f t="shared" si="0"/>
        <v>132300</v>
      </c>
      <c r="P16" s="117">
        <v>139322</v>
      </c>
    </row>
    <row r="17" spans="1:16" x14ac:dyDescent="0.25">
      <c r="A17" s="49" t="s">
        <v>133</v>
      </c>
      <c r="B17" s="100">
        <v>2000</v>
      </c>
      <c r="C17" s="101">
        <v>7500</v>
      </c>
      <c r="D17" s="101">
        <v>20675</v>
      </c>
      <c r="E17" s="101">
        <v>29500</v>
      </c>
      <c r="F17" s="101">
        <v>22500</v>
      </c>
      <c r="G17" s="101">
        <v>13500</v>
      </c>
      <c r="H17" s="101">
        <v>12000</v>
      </c>
      <c r="I17" s="101">
        <v>35000</v>
      </c>
      <c r="J17" s="101">
        <v>7000</v>
      </c>
      <c r="K17" s="101">
        <v>2000</v>
      </c>
      <c r="L17" s="111">
        <v>0</v>
      </c>
      <c r="M17" s="38">
        <v>0</v>
      </c>
      <c r="N17" s="51">
        <f t="shared" si="0"/>
        <v>151675</v>
      </c>
      <c r="P17" s="117">
        <v>121792</v>
      </c>
    </row>
    <row r="18" spans="1:16" x14ac:dyDescent="0.25">
      <c r="A18" s="52" t="s">
        <v>70</v>
      </c>
      <c r="B18" s="50">
        <v>1000</v>
      </c>
      <c r="C18" s="38">
        <v>1000</v>
      </c>
      <c r="D18" s="38">
        <v>1250</v>
      </c>
      <c r="E18" s="38">
        <v>1250</v>
      </c>
      <c r="F18" s="38">
        <v>1000</v>
      </c>
      <c r="G18" s="38">
        <v>1000</v>
      </c>
      <c r="H18" s="38">
        <v>1000</v>
      </c>
      <c r="I18" s="38">
        <v>1000</v>
      </c>
      <c r="J18" s="38">
        <v>1000</v>
      </c>
      <c r="K18" s="38">
        <v>1000</v>
      </c>
      <c r="L18" s="38">
        <v>2250</v>
      </c>
      <c r="M18" s="38">
        <v>2750</v>
      </c>
      <c r="N18" s="51">
        <f t="shared" si="0"/>
        <v>15500</v>
      </c>
      <c r="P18" s="117">
        <v>35771</v>
      </c>
    </row>
    <row r="19" spans="1:16" x14ac:dyDescent="0.25">
      <c r="A19" s="52"/>
      <c r="B19" s="53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54"/>
      <c r="P19" s="117"/>
    </row>
    <row r="20" spans="1:16" s="4" customFormat="1" x14ac:dyDescent="0.25">
      <c r="A20" s="55" t="s">
        <v>71</v>
      </c>
      <c r="B20" s="56">
        <f>SUM(B9:B19)</f>
        <v>20250</v>
      </c>
      <c r="C20" s="25">
        <f t="shared" ref="C20:M20" si="1">SUM(C9:C19)</f>
        <v>114040</v>
      </c>
      <c r="D20" s="25">
        <f t="shared" si="1"/>
        <v>130980</v>
      </c>
      <c r="E20" s="25">
        <f t="shared" si="1"/>
        <v>311780</v>
      </c>
      <c r="F20" s="25">
        <f t="shared" si="1"/>
        <v>119020</v>
      </c>
      <c r="G20" s="25">
        <f t="shared" si="1"/>
        <v>69350</v>
      </c>
      <c r="H20" s="25">
        <f t="shared" si="1"/>
        <v>68725</v>
      </c>
      <c r="I20" s="25">
        <f t="shared" si="1"/>
        <v>119275</v>
      </c>
      <c r="J20" s="25">
        <f t="shared" si="1"/>
        <v>117265</v>
      </c>
      <c r="K20" s="25">
        <f t="shared" si="1"/>
        <v>84600</v>
      </c>
      <c r="L20" s="25">
        <f t="shared" si="1"/>
        <v>145910</v>
      </c>
      <c r="M20" s="25">
        <f t="shared" si="1"/>
        <v>215140</v>
      </c>
      <c r="N20" s="57">
        <f>SUM(N9:N19)</f>
        <v>1516335</v>
      </c>
      <c r="P20" s="118">
        <v>1057821</v>
      </c>
    </row>
    <row r="21" spans="1:16" x14ac:dyDescent="0.25">
      <c r="A21" s="58"/>
      <c r="B21" s="59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60"/>
      <c r="P21" s="119"/>
    </row>
    <row r="22" spans="1:16" x14ac:dyDescent="0.25">
      <c r="A22" s="45" t="s">
        <v>72</v>
      </c>
      <c r="B22" s="61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62"/>
      <c r="P22" s="120"/>
    </row>
    <row r="23" spans="1:16" x14ac:dyDescent="0.25">
      <c r="A23" s="49" t="s">
        <v>73</v>
      </c>
      <c r="B23" s="50">
        <v>0</v>
      </c>
      <c r="C23" s="38">
        <v>1020</v>
      </c>
      <c r="D23" s="38">
        <v>3000</v>
      </c>
      <c r="E23" s="38">
        <v>94800</v>
      </c>
      <c r="F23" s="38">
        <v>31500</v>
      </c>
      <c r="G23" s="38">
        <v>20700</v>
      </c>
      <c r="H23" s="38">
        <v>9450</v>
      </c>
      <c r="I23" s="38">
        <v>29550</v>
      </c>
      <c r="J23" s="38">
        <v>34050</v>
      </c>
      <c r="K23" s="38">
        <v>10500</v>
      </c>
      <c r="L23" s="38">
        <v>11550</v>
      </c>
      <c r="M23" s="38">
        <v>29250</v>
      </c>
      <c r="N23" s="51">
        <f>SUM(B23:M23)</f>
        <v>275370</v>
      </c>
      <c r="P23" s="117">
        <v>219075</v>
      </c>
    </row>
    <row r="24" spans="1:16" x14ac:dyDescent="0.25">
      <c r="A24" s="49" t="s">
        <v>74</v>
      </c>
      <c r="B24" s="50">
        <v>0</v>
      </c>
      <c r="C24" s="38">
        <v>0</v>
      </c>
      <c r="D24" s="38">
        <v>0</v>
      </c>
      <c r="E24" s="38">
        <v>0</v>
      </c>
      <c r="F24" s="38">
        <v>0</v>
      </c>
      <c r="G24" s="38">
        <v>0</v>
      </c>
      <c r="H24" s="38">
        <v>550</v>
      </c>
      <c r="I24" s="38">
        <v>5000</v>
      </c>
      <c r="J24" s="38">
        <v>2800</v>
      </c>
      <c r="K24" s="38">
        <v>14400</v>
      </c>
      <c r="L24" s="38">
        <v>9800</v>
      </c>
      <c r="M24" s="38">
        <v>25000</v>
      </c>
      <c r="N24" s="51">
        <f>SUM(B24:M24)</f>
        <v>57550</v>
      </c>
      <c r="P24" s="117">
        <v>90525</v>
      </c>
    </row>
    <row r="25" spans="1:16" s="4" customFormat="1" x14ac:dyDescent="0.25">
      <c r="A25" s="49" t="s">
        <v>75</v>
      </c>
      <c r="B25" s="50">
        <v>0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51">
        <f>SUM(B25:M25)</f>
        <v>0</v>
      </c>
      <c r="P25" s="117">
        <v>0</v>
      </c>
    </row>
    <row r="26" spans="1:16" x14ac:dyDescent="0.25">
      <c r="A26" s="49"/>
      <c r="B26" s="53"/>
      <c r="C26" s="102"/>
      <c r="D26" s="102"/>
      <c r="E26" s="102"/>
      <c r="F26" s="102"/>
      <c r="G26" s="102"/>
      <c r="H26" s="102"/>
      <c r="I26" s="111"/>
      <c r="J26" s="111"/>
      <c r="K26" s="111"/>
      <c r="L26" s="111" t="s">
        <v>136</v>
      </c>
      <c r="M26" s="111"/>
      <c r="N26" s="54"/>
      <c r="P26" s="117"/>
    </row>
    <row r="27" spans="1:16" x14ac:dyDescent="0.25">
      <c r="A27" s="42"/>
      <c r="B27" s="53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54"/>
      <c r="P27" s="117"/>
    </row>
    <row r="28" spans="1:16" x14ac:dyDescent="0.25">
      <c r="A28" s="42"/>
      <c r="B28" s="53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63"/>
      <c r="P28" s="117"/>
    </row>
    <row r="29" spans="1:16" x14ac:dyDescent="0.25">
      <c r="A29" s="64" t="s">
        <v>76</v>
      </c>
      <c r="B29" s="56">
        <f>SUM(B23:B28)</f>
        <v>0</v>
      </c>
      <c r="C29" s="25">
        <f t="shared" ref="C29:M29" si="2">SUM(C23:C28)</f>
        <v>1020</v>
      </c>
      <c r="D29" s="25">
        <f t="shared" si="2"/>
        <v>3000</v>
      </c>
      <c r="E29" s="25">
        <f t="shared" si="2"/>
        <v>94800</v>
      </c>
      <c r="F29" s="25">
        <f t="shared" si="2"/>
        <v>31500</v>
      </c>
      <c r="G29" s="25">
        <f t="shared" si="2"/>
        <v>20700</v>
      </c>
      <c r="H29" s="25">
        <f t="shared" si="2"/>
        <v>10000</v>
      </c>
      <c r="I29" s="25">
        <f t="shared" si="2"/>
        <v>34550</v>
      </c>
      <c r="J29" s="25">
        <f>SUM(J23:J28)</f>
        <v>36850</v>
      </c>
      <c r="K29" s="25">
        <f t="shared" si="2"/>
        <v>24900</v>
      </c>
      <c r="L29" s="25">
        <f t="shared" si="2"/>
        <v>21350</v>
      </c>
      <c r="M29" s="25">
        <f t="shared" si="2"/>
        <v>54250</v>
      </c>
      <c r="N29" s="57">
        <f>SUM(N23:N28)</f>
        <v>332920</v>
      </c>
      <c r="P29" s="118">
        <v>309600</v>
      </c>
    </row>
    <row r="30" spans="1:16" x14ac:dyDescent="0.25">
      <c r="A30" s="58"/>
      <c r="B30" s="6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66"/>
      <c r="P30" s="121"/>
    </row>
    <row r="31" spans="1:16" s="4" customFormat="1" x14ac:dyDescent="0.25">
      <c r="A31" s="64" t="s">
        <v>77</v>
      </c>
      <c r="B31" s="56">
        <f>B20-B29</f>
        <v>20250</v>
      </c>
      <c r="C31" s="25">
        <f t="shared" ref="C31:M31" si="3">C20-C29</f>
        <v>113020</v>
      </c>
      <c r="D31" s="25">
        <f t="shared" si="3"/>
        <v>127980</v>
      </c>
      <c r="E31" s="25">
        <f t="shared" si="3"/>
        <v>216980</v>
      </c>
      <c r="F31" s="25">
        <f t="shared" si="3"/>
        <v>87520</v>
      </c>
      <c r="G31" s="25">
        <f t="shared" si="3"/>
        <v>48650</v>
      </c>
      <c r="H31" s="25">
        <f t="shared" si="3"/>
        <v>58725</v>
      </c>
      <c r="I31" s="25">
        <f t="shared" si="3"/>
        <v>84725</v>
      </c>
      <c r="J31" s="25">
        <f t="shared" si="3"/>
        <v>80415</v>
      </c>
      <c r="K31" s="25">
        <f t="shared" si="3"/>
        <v>59700</v>
      </c>
      <c r="L31" s="25">
        <f t="shared" si="3"/>
        <v>124560</v>
      </c>
      <c r="M31" s="25">
        <f t="shared" si="3"/>
        <v>160890</v>
      </c>
      <c r="N31" s="57">
        <f>N20-N29</f>
        <v>1183415</v>
      </c>
      <c r="P31" s="118">
        <f>P20-P29</f>
        <v>748221</v>
      </c>
    </row>
    <row r="32" spans="1:16" s="4" customFormat="1" x14ac:dyDescent="0.25">
      <c r="A32" s="49"/>
      <c r="B32" s="65"/>
      <c r="C32" s="105" t="s">
        <v>136</v>
      </c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66"/>
      <c r="P32" s="121"/>
    </row>
    <row r="33" spans="1:16" x14ac:dyDescent="0.25">
      <c r="A33" s="45" t="s">
        <v>78</v>
      </c>
      <c r="B33" s="61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62"/>
      <c r="P33" s="120"/>
    </row>
    <row r="34" spans="1:16" ht="14.4" x14ac:dyDescent="0.3">
      <c r="A34" s="67" t="s">
        <v>79</v>
      </c>
      <c r="B34" s="53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54"/>
      <c r="P34" s="117"/>
    </row>
    <row r="35" spans="1:16" x14ac:dyDescent="0.25">
      <c r="A35" s="49" t="s">
        <v>80</v>
      </c>
      <c r="B35" s="50">
        <v>5000</v>
      </c>
      <c r="C35" s="38">
        <v>6200</v>
      </c>
      <c r="D35" s="38">
        <v>5000</v>
      </c>
      <c r="E35" s="38">
        <v>5000</v>
      </c>
      <c r="F35" s="38">
        <v>5000</v>
      </c>
      <c r="G35" s="38">
        <v>5000</v>
      </c>
      <c r="H35" s="38">
        <v>5000</v>
      </c>
      <c r="I35" s="38">
        <v>5000</v>
      </c>
      <c r="J35" s="38">
        <v>5000</v>
      </c>
      <c r="K35" s="38">
        <v>5000</v>
      </c>
      <c r="L35" s="38">
        <v>5000</v>
      </c>
      <c r="M35" s="38">
        <v>5000</v>
      </c>
      <c r="N35" s="51">
        <f>SUM(B35:M35)</f>
        <v>61200</v>
      </c>
      <c r="P35" s="117">
        <v>53983</v>
      </c>
    </row>
    <row r="36" spans="1:16" x14ac:dyDescent="0.25">
      <c r="A36" s="68" t="s">
        <v>81</v>
      </c>
      <c r="B36" s="50">
        <v>0</v>
      </c>
      <c r="C36" s="38">
        <v>0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51">
        <f t="shared" ref="N36:N44" si="4">SUM(B36:M36)</f>
        <v>0</v>
      </c>
      <c r="P36" s="117">
        <v>0</v>
      </c>
    </row>
    <row r="37" spans="1:16" x14ac:dyDescent="0.25">
      <c r="A37" s="49" t="s">
        <v>82</v>
      </c>
      <c r="B37" s="100">
        <v>260</v>
      </c>
      <c r="C37" s="101">
        <v>260</v>
      </c>
      <c r="D37" s="101">
        <v>260</v>
      </c>
      <c r="E37" s="101">
        <v>260</v>
      </c>
      <c r="F37" s="101">
        <v>260</v>
      </c>
      <c r="G37" s="101">
        <v>260</v>
      </c>
      <c r="H37" s="101">
        <v>260</v>
      </c>
      <c r="I37" s="101">
        <v>260</v>
      </c>
      <c r="J37" s="101">
        <v>260</v>
      </c>
      <c r="K37" s="101">
        <v>260</v>
      </c>
      <c r="L37" s="111">
        <v>260</v>
      </c>
      <c r="M37" s="38">
        <v>260</v>
      </c>
      <c r="N37" s="51">
        <f t="shared" si="4"/>
        <v>3120</v>
      </c>
      <c r="P37" s="117">
        <v>3472</v>
      </c>
    </row>
    <row r="38" spans="1:16" s="4" customFormat="1" x14ac:dyDescent="0.25">
      <c r="A38" s="49" t="s">
        <v>83</v>
      </c>
      <c r="B38" s="100">
        <v>130</v>
      </c>
      <c r="C38" s="101">
        <v>130</v>
      </c>
      <c r="D38" s="101">
        <v>130</v>
      </c>
      <c r="E38" s="101">
        <v>130</v>
      </c>
      <c r="F38" s="101">
        <v>130</v>
      </c>
      <c r="G38" s="101">
        <v>130</v>
      </c>
      <c r="H38" s="101">
        <v>130</v>
      </c>
      <c r="I38" s="101">
        <v>130</v>
      </c>
      <c r="J38" s="101">
        <v>130</v>
      </c>
      <c r="K38" s="101">
        <v>130</v>
      </c>
      <c r="L38" s="111">
        <v>130</v>
      </c>
      <c r="M38" s="38">
        <v>130</v>
      </c>
      <c r="N38" s="51">
        <f t="shared" si="4"/>
        <v>1560</v>
      </c>
      <c r="P38" s="117">
        <v>1553</v>
      </c>
    </row>
    <row r="39" spans="1:16" x14ac:dyDescent="0.25">
      <c r="A39" s="52" t="s">
        <v>84</v>
      </c>
      <c r="B39" s="116">
        <v>3700</v>
      </c>
      <c r="C39" s="101">
        <v>700</v>
      </c>
      <c r="D39" s="101">
        <v>700</v>
      </c>
      <c r="E39" s="101">
        <v>700</v>
      </c>
      <c r="F39" s="101">
        <v>700</v>
      </c>
      <c r="G39" s="101">
        <v>700</v>
      </c>
      <c r="H39" s="101">
        <v>700</v>
      </c>
      <c r="I39" s="101">
        <v>700</v>
      </c>
      <c r="J39" s="101">
        <v>700</v>
      </c>
      <c r="K39" s="101">
        <v>700</v>
      </c>
      <c r="L39" s="111">
        <v>700</v>
      </c>
      <c r="M39" s="38">
        <v>700</v>
      </c>
      <c r="N39" s="51">
        <f t="shared" si="4"/>
        <v>11400</v>
      </c>
      <c r="P39" s="117">
        <v>14406</v>
      </c>
    </row>
    <row r="40" spans="1:16" s="4" customFormat="1" x14ac:dyDescent="0.25">
      <c r="A40" s="69" t="s">
        <v>85</v>
      </c>
      <c r="B40" s="50">
        <v>25</v>
      </c>
      <c r="C40" s="38">
        <v>25</v>
      </c>
      <c r="D40" s="38">
        <v>25</v>
      </c>
      <c r="E40" s="38">
        <v>25</v>
      </c>
      <c r="F40" s="38">
        <v>25</v>
      </c>
      <c r="G40" s="38">
        <v>25</v>
      </c>
      <c r="H40" s="38">
        <v>25</v>
      </c>
      <c r="I40" s="38">
        <v>25</v>
      </c>
      <c r="J40" s="38">
        <v>25</v>
      </c>
      <c r="K40" s="38">
        <v>25</v>
      </c>
      <c r="L40" s="38">
        <v>25</v>
      </c>
      <c r="M40" s="38">
        <v>25</v>
      </c>
      <c r="N40" s="51">
        <f t="shared" si="4"/>
        <v>300</v>
      </c>
      <c r="P40" s="117">
        <v>253</v>
      </c>
    </row>
    <row r="41" spans="1:16" s="4" customFormat="1" x14ac:dyDescent="0.25">
      <c r="A41" s="49" t="s">
        <v>86</v>
      </c>
      <c r="B41" s="50">
        <v>0</v>
      </c>
      <c r="C41" s="38">
        <v>0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51">
        <f t="shared" si="4"/>
        <v>0</v>
      </c>
      <c r="P41" s="117">
        <v>0</v>
      </c>
    </row>
    <row r="42" spans="1:16" s="4" customFormat="1" x14ac:dyDescent="0.25">
      <c r="A42" s="49" t="s">
        <v>87</v>
      </c>
      <c r="B42" s="50">
        <v>0</v>
      </c>
      <c r="C42" s="38">
        <v>0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51">
        <f>SUM(B42:M42)</f>
        <v>0</v>
      </c>
      <c r="P42" s="117">
        <v>0</v>
      </c>
    </row>
    <row r="43" spans="1:16" s="4" customFormat="1" x14ac:dyDescent="0.25">
      <c r="A43" s="49" t="s">
        <v>88</v>
      </c>
      <c r="B43" s="50">
        <v>0</v>
      </c>
      <c r="C43" s="38">
        <v>0</v>
      </c>
      <c r="D43" s="38">
        <v>0</v>
      </c>
      <c r="E43" s="38">
        <v>0</v>
      </c>
      <c r="F43" s="38">
        <v>0</v>
      </c>
      <c r="G43" s="38">
        <v>0</v>
      </c>
      <c r="H43" s="38">
        <v>0</v>
      </c>
      <c r="I43" s="38">
        <v>0</v>
      </c>
      <c r="J43" s="38">
        <v>0</v>
      </c>
      <c r="K43" s="38">
        <v>0</v>
      </c>
      <c r="L43" s="38">
        <v>0</v>
      </c>
      <c r="M43" s="38">
        <v>0</v>
      </c>
      <c r="N43" s="51">
        <f t="shared" si="4"/>
        <v>0</v>
      </c>
      <c r="P43" s="117">
        <v>0</v>
      </c>
    </row>
    <row r="44" spans="1:16" s="4" customFormat="1" x14ac:dyDescent="0.25">
      <c r="A44" s="49" t="s">
        <v>89</v>
      </c>
      <c r="B44" s="50">
        <v>0</v>
      </c>
      <c r="C44" s="38">
        <v>0</v>
      </c>
      <c r="D44" s="38">
        <v>0</v>
      </c>
      <c r="E44" s="38">
        <v>0</v>
      </c>
      <c r="F44" s="38">
        <v>0</v>
      </c>
      <c r="G44" s="38">
        <v>0</v>
      </c>
      <c r="H44" s="38">
        <v>0</v>
      </c>
      <c r="I44" s="38">
        <v>0</v>
      </c>
      <c r="J44" s="38">
        <v>0</v>
      </c>
      <c r="K44" s="38">
        <v>0</v>
      </c>
      <c r="L44" s="38">
        <v>0</v>
      </c>
      <c r="M44" s="38">
        <v>0</v>
      </c>
      <c r="N44" s="51">
        <f t="shared" si="4"/>
        <v>0</v>
      </c>
      <c r="P44" s="117">
        <v>366</v>
      </c>
    </row>
    <row r="45" spans="1:16" x14ac:dyDescent="0.25">
      <c r="A45" s="49" t="s">
        <v>90</v>
      </c>
      <c r="B45" s="50">
        <v>426</v>
      </c>
      <c r="C45" s="38">
        <v>391</v>
      </c>
      <c r="D45" s="38">
        <v>391</v>
      </c>
      <c r="E45" s="38">
        <v>426</v>
      </c>
      <c r="F45" s="38">
        <v>391</v>
      </c>
      <c r="G45" s="38">
        <v>391</v>
      </c>
      <c r="H45" s="38">
        <v>426</v>
      </c>
      <c r="I45" s="38">
        <v>391</v>
      </c>
      <c r="J45" s="38">
        <v>391</v>
      </c>
      <c r="K45" s="38">
        <v>426</v>
      </c>
      <c r="L45" s="38">
        <v>391</v>
      </c>
      <c r="M45" s="38">
        <v>391</v>
      </c>
      <c r="N45" s="51">
        <f>SUM(B45:M45)</f>
        <v>4832</v>
      </c>
      <c r="P45" s="117">
        <v>4662</v>
      </c>
    </row>
    <row r="46" spans="1:16" s="4" customFormat="1" x14ac:dyDescent="0.25">
      <c r="A46" s="49" t="s">
        <v>70</v>
      </c>
      <c r="B46" s="70">
        <v>0</v>
      </c>
      <c r="C46" s="29">
        <v>500</v>
      </c>
      <c r="D46" s="29">
        <v>0</v>
      </c>
      <c r="E46" s="29">
        <v>0</v>
      </c>
      <c r="F46" s="29">
        <v>0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M46" s="38">
        <v>250</v>
      </c>
      <c r="N46" s="71">
        <f>SUM(B46:M46)</f>
        <v>750</v>
      </c>
      <c r="P46" s="122">
        <v>255</v>
      </c>
    </row>
    <row r="47" spans="1:16" ht="14.4" x14ac:dyDescent="0.3">
      <c r="A47" s="72" t="s">
        <v>91</v>
      </c>
      <c r="B47" s="56">
        <f>SUM(B35:B46)</f>
        <v>9541</v>
      </c>
      <c r="C47" s="25">
        <f t="shared" ref="C47:M47" si="5">SUM(C35:C46)</f>
        <v>8206</v>
      </c>
      <c r="D47" s="25">
        <f t="shared" si="5"/>
        <v>6506</v>
      </c>
      <c r="E47" s="25">
        <f t="shared" si="5"/>
        <v>6541</v>
      </c>
      <c r="F47" s="25">
        <f t="shared" si="5"/>
        <v>6506</v>
      </c>
      <c r="G47" s="25">
        <f t="shared" si="5"/>
        <v>6506</v>
      </c>
      <c r="H47" s="25">
        <f t="shared" si="5"/>
        <v>6541</v>
      </c>
      <c r="I47" s="25">
        <f t="shared" si="5"/>
        <v>6506</v>
      </c>
      <c r="J47" s="25">
        <f t="shared" si="5"/>
        <v>6506</v>
      </c>
      <c r="K47" s="25">
        <f t="shared" si="5"/>
        <v>6541</v>
      </c>
      <c r="L47" s="25">
        <f t="shared" si="5"/>
        <v>6506</v>
      </c>
      <c r="M47" s="25">
        <f t="shared" si="5"/>
        <v>6756</v>
      </c>
      <c r="N47" s="73">
        <f>SUM(N35:N46)</f>
        <v>83162</v>
      </c>
      <c r="P47" s="119">
        <f>SUM(P35:P46)</f>
        <v>78950</v>
      </c>
    </row>
    <row r="48" spans="1:16" ht="14.4" x14ac:dyDescent="0.3">
      <c r="A48" s="72"/>
      <c r="B48" s="53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74"/>
      <c r="P48" s="117"/>
    </row>
    <row r="49" spans="1:16" ht="14.4" x14ac:dyDescent="0.3">
      <c r="A49" s="67" t="s">
        <v>121</v>
      </c>
      <c r="B49" s="53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54"/>
      <c r="P49" s="117"/>
    </row>
    <row r="50" spans="1:16" s="4" customFormat="1" x14ac:dyDescent="0.25">
      <c r="A50" s="49" t="s">
        <v>80</v>
      </c>
      <c r="B50" s="50">
        <v>8600</v>
      </c>
      <c r="C50" s="38">
        <v>16000</v>
      </c>
      <c r="D50" s="38">
        <v>8600</v>
      </c>
      <c r="E50" s="38">
        <v>8600</v>
      </c>
      <c r="F50" s="38">
        <v>8600</v>
      </c>
      <c r="G50" s="38">
        <v>8600</v>
      </c>
      <c r="H50" s="38">
        <v>8600</v>
      </c>
      <c r="I50" s="38">
        <v>8600</v>
      </c>
      <c r="J50" s="38">
        <v>8600</v>
      </c>
      <c r="K50" s="38">
        <v>8600</v>
      </c>
      <c r="L50" s="38">
        <v>8600</v>
      </c>
      <c r="M50" s="38">
        <v>8600</v>
      </c>
      <c r="N50" s="51">
        <f t="shared" ref="N50:N58" si="6">SUM(B50:M50)</f>
        <v>110600</v>
      </c>
      <c r="P50" s="117">
        <v>96458</v>
      </c>
    </row>
    <row r="51" spans="1:16" s="4" customFormat="1" x14ac:dyDescent="0.25">
      <c r="A51" s="49" t="s">
        <v>82</v>
      </c>
      <c r="B51" s="100">
        <v>150</v>
      </c>
      <c r="C51" s="101">
        <v>125</v>
      </c>
      <c r="D51" s="101">
        <v>550</v>
      </c>
      <c r="E51" s="101">
        <v>50</v>
      </c>
      <c r="F51" s="101">
        <v>125</v>
      </c>
      <c r="G51" s="101">
        <v>250</v>
      </c>
      <c r="H51" s="101">
        <v>325</v>
      </c>
      <c r="I51" s="101">
        <v>190</v>
      </c>
      <c r="J51" s="101">
        <v>120</v>
      </c>
      <c r="K51" s="101">
        <v>300</v>
      </c>
      <c r="L51" s="111">
        <v>450</v>
      </c>
      <c r="M51" s="38">
        <v>100</v>
      </c>
      <c r="N51" s="51">
        <f t="shared" si="6"/>
        <v>2735</v>
      </c>
      <c r="P51" s="117">
        <v>3830</v>
      </c>
    </row>
    <row r="52" spans="1:16" s="4" customFormat="1" x14ac:dyDescent="0.25">
      <c r="A52" s="49" t="s">
        <v>70</v>
      </c>
      <c r="B52" s="100">
        <v>1200</v>
      </c>
      <c r="C52" s="101">
        <v>1200</v>
      </c>
      <c r="D52" s="101">
        <v>1200</v>
      </c>
      <c r="E52" s="101">
        <v>1200</v>
      </c>
      <c r="F52" s="101">
        <v>1200</v>
      </c>
      <c r="G52" s="101">
        <v>1200</v>
      </c>
      <c r="H52" s="101">
        <v>1200</v>
      </c>
      <c r="I52" s="101">
        <v>1200</v>
      </c>
      <c r="J52" s="101">
        <v>1200</v>
      </c>
      <c r="K52" s="101">
        <v>1200</v>
      </c>
      <c r="L52" s="111">
        <v>1200</v>
      </c>
      <c r="M52" s="38">
        <v>1200</v>
      </c>
      <c r="N52" s="51">
        <f t="shared" si="6"/>
        <v>14400</v>
      </c>
      <c r="P52" s="117">
        <v>13896</v>
      </c>
    </row>
    <row r="53" spans="1:16" s="4" customFormat="1" x14ac:dyDescent="0.25">
      <c r="A53" s="49" t="s">
        <v>149</v>
      </c>
      <c r="B53" s="9">
        <v>11830</v>
      </c>
      <c r="C53" s="34">
        <v>17030</v>
      </c>
      <c r="D53" s="34">
        <v>13700</v>
      </c>
      <c r="E53" s="38">
        <v>13700</v>
      </c>
      <c r="F53" s="38">
        <v>13700</v>
      </c>
      <c r="G53" s="38">
        <v>13700</v>
      </c>
      <c r="H53" s="38">
        <v>13700</v>
      </c>
      <c r="I53" s="38">
        <v>13700</v>
      </c>
      <c r="J53" s="38">
        <v>13700</v>
      </c>
      <c r="K53" s="38">
        <v>13700</v>
      </c>
      <c r="L53" s="38">
        <v>13700</v>
      </c>
      <c r="M53" s="34">
        <v>13700</v>
      </c>
      <c r="N53" s="10">
        <f t="shared" si="6"/>
        <v>165860</v>
      </c>
      <c r="P53" s="117">
        <v>94070</v>
      </c>
    </row>
    <row r="54" spans="1:16" s="4" customFormat="1" x14ac:dyDescent="0.25">
      <c r="A54" s="49" t="s">
        <v>150</v>
      </c>
      <c r="B54" s="9">
        <v>6140</v>
      </c>
      <c r="C54" s="34">
        <v>92645</v>
      </c>
      <c r="D54" s="34">
        <v>92720</v>
      </c>
      <c r="E54" s="38">
        <v>91900</v>
      </c>
      <c r="F54" s="38">
        <v>7575</v>
      </c>
      <c r="G54" s="38">
        <v>6125</v>
      </c>
      <c r="H54" s="38">
        <v>9235</v>
      </c>
      <c r="I54" s="38">
        <v>5925</v>
      </c>
      <c r="J54" s="38">
        <v>6000</v>
      </c>
      <c r="K54" s="38">
        <v>8400</v>
      </c>
      <c r="L54" s="38">
        <v>95030</v>
      </c>
      <c r="M54" s="34">
        <v>84130</v>
      </c>
      <c r="N54" s="10">
        <f>SUM(B54:M54)</f>
        <v>505825</v>
      </c>
      <c r="P54" s="117">
        <v>87744</v>
      </c>
    </row>
    <row r="55" spans="1:16" s="4" customFormat="1" x14ac:dyDescent="0.25">
      <c r="A55" s="49" t="s">
        <v>152</v>
      </c>
      <c r="B55" s="9">
        <v>125</v>
      </c>
      <c r="C55" s="34">
        <v>1615</v>
      </c>
      <c r="D55" s="34">
        <v>1340</v>
      </c>
      <c r="E55" s="38">
        <v>550</v>
      </c>
      <c r="F55" s="38">
        <v>550</v>
      </c>
      <c r="G55" s="38">
        <v>200</v>
      </c>
      <c r="H55" s="38">
        <v>1430</v>
      </c>
      <c r="I55" s="38">
        <v>675</v>
      </c>
      <c r="J55" s="38">
        <v>1325</v>
      </c>
      <c r="K55" s="38">
        <v>3325</v>
      </c>
      <c r="L55" s="38">
        <v>1140</v>
      </c>
      <c r="M55" s="34">
        <v>725</v>
      </c>
      <c r="N55" s="10">
        <f>SUM(B55:M55)</f>
        <v>13000</v>
      </c>
      <c r="P55" s="117">
        <v>14986</v>
      </c>
    </row>
    <row r="56" spans="1:16" s="4" customFormat="1" x14ac:dyDescent="0.25">
      <c r="A56" s="49" t="s">
        <v>151</v>
      </c>
      <c r="B56" s="116">
        <v>2300</v>
      </c>
      <c r="C56" s="111">
        <v>8000</v>
      </c>
      <c r="D56" s="111">
        <v>3000</v>
      </c>
      <c r="E56" s="111">
        <v>6000</v>
      </c>
      <c r="F56" s="111">
        <v>30000</v>
      </c>
      <c r="G56" s="111">
        <v>9000</v>
      </c>
      <c r="H56" s="111">
        <v>5000</v>
      </c>
      <c r="I56" s="111">
        <v>9000</v>
      </c>
      <c r="J56" s="111">
        <v>37000</v>
      </c>
      <c r="K56" s="111">
        <v>6500</v>
      </c>
      <c r="L56" s="111">
        <v>9500</v>
      </c>
      <c r="M56" s="38">
        <v>7000</v>
      </c>
      <c r="N56" s="51">
        <f t="shared" si="6"/>
        <v>132300</v>
      </c>
      <c r="P56" s="117">
        <v>129772</v>
      </c>
    </row>
    <row r="57" spans="1:16" s="4" customFormat="1" x14ac:dyDescent="0.25">
      <c r="A57" s="49" t="s">
        <v>132</v>
      </c>
      <c r="B57" s="100">
        <v>3800</v>
      </c>
      <c r="C57" s="101">
        <v>8600</v>
      </c>
      <c r="D57" s="101">
        <v>14100</v>
      </c>
      <c r="E57" s="101">
        <v>16600</v>
      </c>
      <c r="F57" s="101">
        <v>13350</v>
      </c>
      <c r="G57" s="101">
        <v>15850</v>
      </c>
      <c r="H57" s="101">
        <v>21500</v>
      </c>
      <c r="I57" s="101">
        <v>24500</v>
      </c>
      <c r="J57" s="101">
        <v>10000</v>
      </c>
      <c r="K57" s="101">
        <v>4300</v>
      </c>
      <c r="L57" s="111">
        <v>2700</v>
      </c>
      <c r="M57" s="38">
        <v>2700</v>
      </c>
      <c r="N57" s="51">
        <f t="shared" si="6"/>
        <v>138000</v>
      </c>
      <c r="P57" s="117">
        <v>112733</v>
      </c>
    </row>
    <row r="58" spans="1:16" s="4" customFormat="1" x14ac:dyDescent="0.25">
      <c r="A58" s="49" t="s">
        <v>118</v>
      </c>
      <c r="B58" s="141">
        <v>5900</v>
      </c>
      <c r="C58" s="115">
        <v>1400</v>
      </c>
      <c r="D58" s="115">
        <v>2000</v>
      </c>
      <c r="E58" s="115">
        <v>2000</v>
      </c>
      <c r="F58" s="115">
        <v>2000</v>
      </c>
      <c r="G58" s="115">
        <v>2000</v>
      </c>
      <c r="H58" s="115">
        <v>2000</v>
      </c>
      <c r="I58" s="115">
        <v>2000</v>
      </c>
      <c r="J58" s="115">
        <v>2000</v>
      </c>
      <c r="K58" s="115">
        <v>2000</v>
      </c>
      <c r="L58" s="115">
        <v>2000</v>
      </c>
      <c r="M58" s="115">
        <v>2000</v>
      </c>
      <c r="N58" s="71">
        <f t="shared" si="6"/>
        <v>27300</v>
      </c>
      <c r="P58" s="122">
        <v>11920</v>
      </c>
    </row>
    <row r="59" spans="1:16" s="4" customFormat="1" ht="14.4" x14ac:dyDescent="0.3">
      <c r="A59" s="75" t="s">
        <v>62</v>
      </c>
      <c r="B59" s="56">
        <f>SUM(B50:B58)</f>
        <v>40045</v>
      </c>
      <c r="C59" s="25">
        <f t="shared" ref="C59:M59" si="7">SUM(C50:C58)</f>
        <v>146615</v>
      </c>
      <c r="D59" s="25">
        <f t="shared" si="7"/>
        <v>137210</v>
      </c>
      <c r="E59" s="25">
        <f t="shared" si="7"/>
        <v>140600</v>
      </c>
      <c r="F59" s="25">
        <f t="shared" si="7"/>
        <v>77100</v>
      </c>
      <c r="G59" s="25">
        <f t="shared" si="7"/>
        <v>56925</v>
      </c>
      <c r="H59" s="25">
        <f t="shared" si="7"/>
        <v>62990</v>
      </c>
      <c r="I59" s="25">
        <f t="shared" si="7"/>
        <v>65790</v>
      </c>
      <c r="J59" s="25">
        <f t="shared" si="7"/>
        <v>79945</v>
      </c>
      <c r="K59" s="25">
        <f t="shared" si="7"/>
        <v>48325</v>
      </c>
      <c r="L59" s="25">
        <f t="shared" si="7"/>
        <v>134320</v>
      </c>
      <c r="M59" s="25">
        <f t="shared" si="7"/>
        <v>120155</v>
      </c>
      <c r="N59" s="73">
        <f>SUM(N50:N58)</f>
        <v>1110020</v>
      </c>
      <c r="P59" s="119">
        <f>SUM(P50:P58)</f>
        <v>565409</v>
      </c>
    </row>
    <row r="60" spans="1:16" s="4" customFormat="1" x14ac:dyDescent="0.25">
      <c r="A60" s="49"/>
      <c r="B60" s="50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74"/>
      <c r="P60" s="117"/>
    </row>
    <row r="61" spans="1:16" s="4" customFormat="1" ht="14.4" x14ac:dyDescent="0.3">
      <c r="A61" s="76" t="s">
        <v>92</v>
      </c>
      <c r="B61" s="50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51"/>
      <c r="P61" s="117"/>
    </row>
    <row r="62" spans="1:16" s="4" customFormat="1" x14ac:dyDescent="0.25">
      <c r="A62" s="49" t="s">
        <v>80</v>
      </c>
      <c r="B62" s="50">
        <v>1650</v>
      </c>
      <c r="C62" s="38">
        <v>1650</v>
      </c>
      <c r="D62" s="38">
        <v>1650</v>
      </c>
      <c r="E62" s="38">
        <v>1650</v>
      </c>
      <c r="F62" s="38">
        <v>1650</v>
      </c>
      <c r="G62" s="38">
        <v>1650</v>
      </c>
      <c r="H62" s="38">
        <v>1650</v>
      </c>
      <c r="I62" s="38">
        <v>1650</v>
      </c>
      <c r="J62" s="38">
        <v>1650</v>
      </c>
      <c r="K62" s="38">
        <v>1650</v>
      </c>
      <c r="L62" s="38">
        <v>1650</v>
      </c>
      <c r="M62" s="38">
        <v>1650</v>
      </c>
      <c r="N62" s="51">
        <f>SUM(B62:M62)</f>
        <v>19800</v>
      </c>
      <c r="P62" s="117">
        <v>17396</v>
      </c>
    </row>
    <row r="63" spans="1:16" s="4" customFormat="1" x14ac:dyDescent="0.25">
      <c r="A63" s="49" t="s">
        <v>81</v>
      </c>
      <c r="B63" s="50">
        <v>0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51">
        <f t="shared" ref="N63:N71" si="8">SUM(B63:M63)</f>
        <v>0</v>
      </c>
      <c r="P63" s="117">
        <v>0</v>
      </c>
    </row>
    <row r="64" spans="1:16" s="4" customFormat="1" x14ac:dyDescent="0.25">
      <c r="A64" s="49" t="s">
        <v>82</v>
      </c>
      <c r="B64" s="50">
        <v>0</v>
      </c>
      <c r="C64" s="38">
        <v>0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51">
        <f>SUM(B64:M64)</f>
        <v>0</v>
      </c>
      <c r="P64" s="117">
        <v>0</v>
      </c>
    </row>
    <row r="65" spans="1:16" s="4" customFormat="1" x14ac:dyDescent="0.25">
      <c r="A65" s="49" t="s">
        <v>83</v>
      </c>
      <c r="B65" s="50">
        <v>0</v>
      </c>
      <c r="C65" s="38">
        <v>0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51">
        <f>SUM(B65:M65)</f>
        <v>0</v>
      </c>
      <c r="P65" s="117">
        <v>0</v>
      </c>
    </row>
    <row r="66" spans="1:16" s="4" customFormat="1" x14ac:dyDescent="0.25">
      <c r="A66" s="49" t="s">
        <v>90</v>
      </c>
      <c r="B66" s="100">
        <v>18</v>
      </c>
      <c r="C66" s="101">
        <v>0</v>
      </c>
      <c r="D66" s="101">
        <v>0</v>
      </c>
      <c r="E66" s="101">
        <v>18</v>
      </c>
      <c r="F66" s="101">
        <v>0</v>
      </c>
      <c r="G66" s="101">
        <v>0</v>
      </c>
      <c r="H66" s="101">
        <v>18</v>
      </c>
      <c r="I66" s="101">
        <v>0</v>
      </c>
      <c r="J66" s="101">
        <v>0</v>
      </c>
      <c r="K66" s="101">
        <v>18</v>
      </c>
      <c r="L66" s="111">
        <v>0</v>
      </c>
      <c r="M66" s="38">
        <v>0</v>
      </c>
      <c r="N66" s="51">
        <f t="shared" si="8"/>
        <v>72</v>
      </c>
      <c r="P66" s="117">
        <v>71</v>
      </c>
    </row>
    <row r="67" spans="1:16" s="4" customFormat="1" x14ac:dyDescent="0.25">
      <c r="A67" s="49" t="s">
        <v>93</v>
      </c>
      <c r="B67" s="50">
        <v>600</v>
      </c>
      <c r="C67" s="38">
        <v>600</v>
      </c>
      <c r="D67" s="38">
        <v>600</v>
      </c>
      <c r="E67" s="38">
        <v>600</v>
      </c>
      <c r="F67" s="38">
        <v>600</v>
      </c>
      <c r="G67" s="38">
        <v>600</v>
      </c>
      <c r="H67" s="38">
        <v>600</v>
      </c>
      <c r="I67" s="38">
        <v>600</v>
      </c>
      <c r="J67" s="38">
        <v>600</v>
      </c>
      <c r="K67" s="38">
        <v>600</v>
      </c>
      <c r="L67" s="38">
        <v>600</v>
      </c>
      <c r="M67" s="38">
        <v>600</v>
      </c>
      <c r="N67" s="51">
        <f t="shared" si="8"/>
        <v>7200</v>
      </c>
      <c r="P67" s="117">
        <v>11590</v>
      </c>
    </row>
    <row r="68" spans="1:16" s="4" customFormat="1" x14ac:dyDescent="0.25">
      <c r="A68" s="49" t="s">
        <v>94</v>
      </c>
      <c r="B68" s="100">
        <v>0</v>
      </c>
      <c r="C68" s="101">
        <v>0</v>
      </c>
      <c r="D68" s="101">
        <v>0</v>
      </c>
      <c r="E68" s="101">
        <v>0</v>
      </c>
      <c r="F68" s="101">
        <v>0</v>
      </c>
      <c r="G68" s="101">
        <v>0</v>
      </c>
      <c r="H68" s="101">
        <v>0</v>
      </c>
      <c r="I68" s="101">
        <v>0</v>
      </c>
      <c r="J68" s="101">
        <v>0</v>
      </c>
      <c r="K68" s="101">
        <v>0</v>
      </c>
      <c r="L68" s="111">
        <v>0</v>
      </c>
      <c r="M68" s="38">
        <v>0</v>
      </c>
      <c r="N68" s="51">
        <f t="shared" si="8"/>
        <v>0</v>
      </c>
      <c r="P68" s="117">
        <v>0</v>
      </c>
    </row>
    <row r="69" spans="1:16" s="4" customFormat="1" x14ac:dyDescent="0.25">
      <c r="A69" s="49" t="s">
        <v>95</v>
      </c>
      <c r="B69" s="50">
        <v>0</v>
      </c>
      <c r="C69" s="38">
        <v>2100</v>
      </c>
      <c r="D69" s="38">
        <v>2700</v>
      </c>
      <c r="E69" s="38">
        <v>2500</v>
      </c>
      <c r="F69" s="38">
        <v>0</v>
      </c>
      <c r="G69" s="38">
        <v>0</v>
      </c>
      <c r="H69" s="38">
        <v>0</v>
      </c>
      <c r="I69" s="38">
        <v>0</v>
      </c>
      <c r="J69" s="38">
        <v>0</v>
      </c>
      <c r="K69" s="38">
        <v>0</v>
      </c>
      <c r="L69" s="38">
        <v>2300</v>
      </c>
      <c r="M69" s="38">
        <v>0</v>
      </c>
      <c r="N69" s="51">
        <f t="shared" si="8"/>
        <v>9600</v>
      </c>
      <c r="P69" s="117">
        <v>15008</v>
      </c>
    </row>
    <row r="70" spans="1:16" s="4" customFormat="1" x14ac:dyDescent="0.25">
      <c r="A70" s="49" t="s">
        <v>96</v>
      </c>
      <c r="B70" s="50">
        <v>0</v>
      </c>
      <c r="C70" s="38">
        <v>0</v>
      </c>
      <c r="D70" s="38">
        <v>0</v>
      </c>
      <c r="E70" s="38">
        <v>0</v>
      </c>
      <c r="F70" s="38">
        <v>0</v>
      </c>
      <c r="G70" s="38">
        <v>0</v>
      </c>
      <c r="H70" s="38">
        <v>0</v>
      </c>
      <c r="I70" s="38">
        <v>0</v>
      </c>
      <c r="J70" s="38">
        <v>0</v>
      </c>
      <c r="K70" s="38">
        <v>0</v>
      </c>
      <c r="L70" s="38">
        <v>0</v>
      </c>
      <c r="M70" s="38">
        <v>0</v>
      </c>
      <c r="N70" s="51">
        <f t="shared" si="8"/>
        <v>0</v>
      </c>
      <c r="P70" s="117">
        <v>166</v>
      </c>
    </row>
    <row r="71" spans="1:16" s="4" customFormat="1" x14ac:dyDescent="0.25">
      <c r="A71" s="49" t="s">
        <v>70</v>
      </c>
      <c r="B71" s="70">
        <v>-725</v>
      </c>
      <c r="C71" s="29">
        <v>-725</v>
      </c>
      <c r="D71" s="29">
        <v>-725</v>
      </c>
      <c r="E71" s="29">
        <v>-725</v>
      </c>
      <c r="F71" s="29">
        <v>-725</v>
      </c>
      <c r="G71" s="29">
        <v>-725</v>
      </c>
      <c r="H71" s="29">
        <v>-725</v>
      </c>
      <c r="I71" s="29">
        <v>-725</v>
      </c>
      <c r="J71" s="29">
        <v>-725</v>
      </c>
      <c r="K71" s="29">
        <v>-725</v>
      </c>
      <c r="L71" s="29">
        <v>-725</v>
      </c>
      <c r="M71" s="29">
        <v>-725</v>
      </c>
      <c r="N71" s="71">
        <f t="shared" si="8"/>
        <v>-8700</v>
      </c>
      <c r="P71" s="122">
        <v>-12507</v>
      </c>
    </row>
    <row r="72" spans="1:16" s="4" customFormat="1" ht="14.4" x14ac:dyDescent="0.3">
      <c r="A72" s="77" t="s">
        <v>62</v>
      </c>
      <c r="B72" s="78">
        <f>SUM(B62:B71)</f>
        <v>1543</v>
      </c>
      <c r="C72" s="30">
        <f t="shared" ref="C72:M72" si="9">SUM(C62:C71)</f>
        <v>3625</v>
      </c>
      <c r="D72" s="30">
        <f t="shared" si="9"/>
        <v>4225</v>
      </c>
      <c r="E72" s="30">
        <f t="shared" si="9"/>
        <v>4043</v>
      </c>
      <c r="F72" s="30">
        <f t="shared" si="9"/>
        <v>1525</v>
      </c>
      <c r="G72" s="30">
        <f t="shared" si="9"/>
        <v>1525</v>
      </c>
      <c r="H72" s="30">
        <f t="shared" si="9"/>
        <v>1543</v>
      </c>
      <c r="I72" s="30">
        <f t="shared" si="9"/>
        <v>1525</v>
      </c>
      <c r="J72" s="30">
        <f t="shared" si="9"/>
        <v>1525</v>
      </c>
      <c r="K72" s="30">
        <f t="shared" si="9"/>
        <v>1543</v>
      </c>
      <c r="L72" s="30">
        <f t="shared" si="9"/>
        <v>3825</v>
      </c>
      <c r="M72" s="30">
        <f t="shared" si="9"/>
        <v>1525</v>
      </c>
      <c r="N72" s="140">
        <f>SUM(N62:N71)</f>
        <v>27972</v>
      </c>
      <c r="P72" s="117">
        <v>31723</v>
      </c>
    </row>
    <row r="73" spans="1:16" s="4" customFormat="1" x14ac:dyDescent="0.25">
      <c r="A73" s="69"/>
      <c r="B73" s="50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74"/>
      <c r="P73" s="117"/>
    </row>
    <row r="74" spans="1:16" s="4" customFormat="1" x14ac:dyDescent="0.25">
      <c r="A74" s="79" t="s">
        <v>97</v>
      </c>
      <c r="B74" s="80">
        <f t="shared" ref="B74:M74" si="10">B72+B59+B47</f>
        <v>51129</v>
      </c>
      <c r="C74" s="31">
        <f t="shared" si="10"/>
        <v>158446</v>
      </c>
      <c r="D74" s="31">
        <f t="shared" si="10"/>
        <v>147941</v>
      </c>
      <c r="E74" s="31">
        <f t="shared" si="10"/>
        <v>151184</v>
      </c>
      <c r="F74" s="31">
        <f t="shared" si="10"/>
        <v>85131</v>
      </c>
      <c r="G74" s="31">
        <f t="shared" si="10"/>
        <v>64956</v>
      </c>
      <c r="H74" s="31">
        <f t="shared" si="10"/>
        <v>71074</v>
      </c>
      <c r="I74" s="31">
        <f t="shared" si="10"/>
        <v>73821</v>
      </c>
      <c r="J74" s="31">
        <f t="shared" si="10"/>
        <v>87976</v>
      </c>
      <c r="K74" s="31">
        <f t="shared" si="10"/>
        <v>56409</v>
      </c>
      <c r="L74" s="31">
        <f t="shared" si="10"/>
        <v>144651</v>
      </c>
      <c r="M74" s="31">
        <f t="shared" si="10"/>
        <v>128436</v>
      </c>
      <c r="N74" s="73">
        <f>SUM(B74:M74)</f>
        <v>1221154</v>
      </c>
      <c r="P74" s="119">
        <f>P72+P59+P47</f>
        <v>676082</v>
      </c>
    </row>
    <row r="75" spans="1:16" s="4" customFormat="1" x14ac:dyDescent="0.25">
      <c r="A75" s="69"/>
      <c r="B75" s="65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66"/>
      <c r="P75" s="121"/>
    </row>
    <row r="76" spans="1:16" s="4" customFormat="1" x14ac:dyDescent="0.25">
      <c r="A76" s="69"/>
      <c r="B76" s="81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82"/>
      <c r="P76" s="120"/>
    </row>
    <row r="77" spans="1:16" s="4" customFormat="1" ht="13.8" thickBot="1" x14ac:dyDescent="0.3">
      <c r="A77" s="83" t="s">
        <v>98</v>
      </c>
      <c r="B77" s="84">
        <f t="shared" ref="B77:N77" si="11">B31-B74</f>
        <v>-30879</v>
      </c>
      <c r="C77" s="33">
        <f t="shared" si="11"/>
        <v>-45426</v>
      </c>
      <c r="D77" s="33">
        <f t="shared" si="11"/>
        <v>-19961</v>
      </c>
      <c r="E77" s="33">
        <f t="shared" si="11"/>
        <v>65796</v>
      </c>
      <c r="F77" s="33">
        <f t="shared" si="11"/>
        <v>2389</v>
      </c>
      <c r="G77" s="33">
        <f t="shared" si="11"/>
        <v>-16306</v>
      </c>
      <c r="H77" s="33">
        <f t="shared" si="11"/>
        <v>-12349</v>
      </c>
      <c r="I77" s="33">
        <f t="shared" si="11"/>
        <v>10904</v>
      </c>
      <c r="J77" s="33">
        <f t="shared" si="11"/>
        <v>-7561</v>
      </c>
      <c r="K77" s="33">
        <f t="shared" si="11"/>
        <v>3291</v>
      </c>
      <c r="L77" s="33">
        <f t="shared" si="11"/>
        <v>-20091</v>
      </c>
      <c r="M77" s="33">
        <f t="shared" si="11"/>
        <v>32454</v>
      </c>
      <c r="N77" s="85">
        <f t="shared" si="11"/>
        <v>-37739</v>
      </c>
      <c r="P77" s="123">
        <v>71878</v>
      </c>
    </row>
    <row r="78" spans="1:16" ht="13.8" thickTop="1" x14ac:dyDescent="0.25"/>
    <row r="82" spans="16:16" x14ac:dyDescent="0.25">
      <c r="P82" s="86"/>
    </row>
    <row r="86" spans="16:16" x14ac:dyDescent="0.25">
      <c r="P86" s="86"/>
    </row>
    <row r="91" spans="16:16" x14ac:dyDescent="0.25">
      <c r="P91" s="86"/>
    </row>
    <row r="97" spans="16:16" x14ac:dyDescent="0.25">
      <c r="P97" s="86"/>
    </row>
    <row r="98" spans="16:16" x14ac:dyDescent="0.25">
      <c r="P98" s="86"/>
    </row>
    <row r="104" spans="16:16" x14ac:dyDescent="0.25">
      <c r="P104" s="86"/>
    </row>
    <row r="106" spans="16:16" x14ac:dyDescent="0.25">
      <c r="P106" s="86"/>
    </row>
    <row r="107" spans="16:16" x14ac:dyDescent="0.25">
      <c r="P107" s="86"/>
    </row>
    <row r="108" spans="16:16" x14ac:dyDescent="0.25">
      <c r="P108" s="86"/>
    </row>
    <row r="109" spans="16:16" x14ac:dyDescent="0.25">
      <c r="P109" s="86"/>
    </row>
    <row r="110" spans="16:16" x14ac:dyDescent="0.25">
      <c r="P110" s="86"/>
    </row>
    <row r="112" spans="16:16" x14ac:dyDescent="0.25">
      <c r="P112" s="86"/>
    </row>
    <row r="116" spans="16:16" x14ac:dyDescent="0.25">
      <c r="P116" s="86"/>
    </row>
    <row r="117" spans="16:16" x14ac:dyDescent="0.25">
      <c r="P117" s="86"/>
    </row>
    <row r="118" spans="16:16" x14ac:dyDescent="0.25">
      <c r="P118" s="86"/>
    </row>
    <row r="119" spans="16:16" x14ac:dyDescent="0.25">
      <c r="P119" s="86"/>
    </row>
    <row r="120" spans="16:16" x14ac:dyDescent="0.25">
      <c r="P120" s="86"/>
    </row>
    <row r="121" spans="16:16" x14ac:dyDescent="0.25">
      <c r="P121" s="86"/>
    </row>
    <row r="122" spans="16:16" x14ac:dyDescent="0.25">
      <c r="P122" s="86"/>
    </row>
    <row r="123" spans="16:16" x14ac:dyDescent="0.25">
      <c r="P123" s="86"/>
    </row>
    <row r="124" spans="16:16" x14ac:dyDescent="0.25">
      <c r="P124" s="86"/>
    </row>
    <row r="125" spans="16:16" x14ac:dyDescent="0.25">
      <c r="P125" s="86"/>
    </row>
    <row r="126" spans="16:16" x14ac:dyDescent="0.25">
      <c r="P126" s="86"/>
    </row>
    <row r="127" spans="16:16" x14ac:dyDescent="0.25">
      <c r="P127" s="86"/>
    </row>
    <row r="128" spans="16:16" x14ac:dyDescent="0.25">
      <c r="P128" s="86"/>
    </row>
    <row r="129" spans="16:16" x14ac:dyDescent="0.25">
      <c r="P129" s="86"/>
    </row>
    <row r="130" spans="16:16" x14ac:dyDescent="0.25">
      <c r="P130" s="86"/>
    </row>
    <row r="131" spans="16:16" x14ac:dyDescent="0.25">
      <c r="P131" s="86"/>
    </row>
    <row r="132" spans="16:16" x14ac:dyDescent="0.25">
      <c r="P132" s="86"/>
    </row>
    <row r="133" spans="16:16" x14ac:dyDescent="0.25">
      <c r="P133" s="86"/>
    </row>
    <row r="134" spans="16:16" x14ac:dyDescent="0.25">
      <c r="P134" s="86"/>
    </row>
    <row r="135" spans="16:16" x14ac:dyDescent="0.25">
      <c r="P135" s="86"/>
    </row>
    <row r="136" spans="16:16" x14ac:dyDescent="0.25">
      <c r="P136" s="86"/>
    </row>
    <row r="137" spans="16:16" x14ac:dyDescent="0.25">
      <c r="P137" s="86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3"/>
  <sheetViews>
    <sheetView topLeftCell="E4" zoomScale="85" zoomScaleNormal="85" workbookViewId="0">
      <pane xSplit="5" ySplit="6" topLeftCell="J25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K48" sqref="K48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.88671875" customWidth="1"/>
    <col min="9" max="9" width="15.88671875" customWidth="1"/>
    <col min="10" max="22" width="10.6640625" customWidth="1"/>
  </cols>
  <sheetData>
    <row r="1" spans="5:22" x14ac:dyDescent="0.25">
      <c r="F1" s="132"/>
      <c r="G1" s="132"/>
      <c r="H1" s="132"/>
      <c r="I1" s="132"/>
      <c r="J1" s="132"/>
      <c r="K1" s="87"/>
    </row>
    <row r="2" spans="5:22" x14ac:dyDescent="0.25">
      <c r="F2" s="132"/>
      <c r="G2" s="3"/>
      <c r="H2" s="132"/>
      <c r="I2" s="132"/>
      <c r="K2" s="2"/>
    </row>
    <row r="3" spans="5:22" x14ac:dyDescent="0.25">
      <c r="E3" s="154" t="s">
        <v>20</v>
      </c>
      <c r="F3" s="152"/>
      <c r="G3" s="152"/>
      <c r="H3" s="152"/>
      <c r="I3" s="152"/>
      <c r="J3" s="152"/>
      <c r="K3" s="152"/>
      <c r="L3" s="152"/>
      <c r="M3" s="152"/>
    </row>
    <row r="4" spans="5:22" x14ac:dyDescent="0.25">
      <c r="E4" s="154" t="s">
        <v>127</v>
      </c>
      <c r="F4" s="152"/>
      <c r="G4" s="152"/>
      <c r="H4" s="152"/>
      <c r="I4" s="152"/>
      <c r="J4" s="152"/>
      <c r="K4" s="152"/>
      <c r="L4" s="152"/>
      <c r="M4" s="152"/>
    </row>
    <row r="5" spans="5:22" x14ac:dyDescent="0.25">
      <c r="E5" s="154"/>
      <c r="F5" s="152"/>
      <c r="G5" s="152"/>
      <c r="H5" s="152"/>
      <c r="I5" s="152"/>
      <c r="J5" s="152"/>
      <c r="K5" s="152"/>
      <c r="L5" s="152"/>
      <c r="M5" s="152"/>
    </row>
    <row r="6" spans="5:22" ht="14.4" hidden="1" x14ac:dyDescent="0.35">
      <c r="E6" s="145"/>
      <c r="F6" s="144"/>
      <c r="G6" s="144"/>
      <c r="H6" s="144"/>
      <c r="I6" s="144"/>
      <c r="J6" s="133" t="s">
        <v>18</v>
      </c>
      <c r="K6" s="133" t="s">
        <v>19</v>
      </c>
      <c r="L6" s="134">
        <v>39934</v>
      </c>
      <c r="M6" s="134">
        <v>39934</v>
      </c>
    </row>
    <row r="7" spans="5:22" x14ac:dyDescent="0.25">
      <c r="E7" s="88"/>
      <c r="J7" s="130"/>
    </row>
    <row r="8" spans="5:22" x14ac:dyDescent="0.25">
      <c r="J8" s="155"/>
      <c r="K8" s="156"/>
      <c r="L8" s="156"/>
      <c r="M8" s="156"/>
    </row>
    <row r="9" spans="5:22" x14ac:dyDescent="0.25">
      <c r="F9" s="132" t="s">
        <v>0</v>
      </c>
      <c r="G9" s="132"/>
      <c r="H9" s="147"/>
      <c r="I9" s="147"/>
      <c r="J9" s="135" t="s">
        <v>154</v>
      </c>
      <c r="K9" s="135" t="s">
        <v>51</v>
      </c>
      <c r="L9" s="135" t="s">
        <v>52</v>
      </c>
      <c r="M9" s="135" t="s">
        <v>53</v>
      </c>
      <c r="N9" s="135" t="s">
        <v>54</v>
      </c>
      <c r="O9" s="135" t="s">
        <v>55</v>
      </c>
      <c r="P9" s="135" t="s">
        <v>56</v>
      </c>
      <c r="Q9" s="135" t="s">
        <v>57</v>
      </c>
      <c r="R9" s="135" t="s">
        <v>58</v>
      </c>
      <c r="S9" s="135" t="s">
        <v>59</v>
      </c>
      <c r="T9" s="135" t="s">
        <v>60</v>
      </c>
      <c r="U9" s="135" t="s">
        <v>61</v>
      </c>
      <c r="V9" s="135" t="s">
        <v>50</v>
      </c>
    </row>
    <row r="10" spans="5:22" x14ac:dyDescent="0.25">
      <c r="F10" s="132"/>
      <c r="G10" s="132" t="s">
        <v>1</v>
      </c>
      <c r="H10" s="132"/>
      <c r="I10" s="132"/>
      <c r="J10" s="136"/>
      <c r="K10" s="132"/>
      <c r="L10" s="132"/>
      <c r="M10" s="132"/>
    </row>
    <row r="11" spans="5:22" x14ac:dyDescent="0.25">
      <c r="F11" s="1"/>
      <c r="G11" s="148" t="s">
        <v>2</v>
      </c>
      <c r="H11" s="1"/>
      <c r="I11" s="1"/>
      <c r="J11" s="89"/>
      <c r="K11" s="35"/>
      <c r="L11" s="35"/>
      <c r="M11" s="35"/>
      <c r="N11" s="2"/>
    </row>
    <row r="12" spans="5:22" s="4" customFormat="1" x14ac:dyDescent="0.25">
      <c r="F12" s="1"/>
      <c r="G12" s="148"/>
      <c r="H12" s="1" t="s">
        <v>21</v>
      </c>
      <c r="I12" s="1"/>
      <c r="J12" s="35">
        <v>16584</v>
      </c>
      <c r="K12" s="35">
        <v>6000</v>
      </c>
      <c r="L12" s="35">
        <v>30000</v>
      </c>
      <c r="M12" s="35">
        <v>18000</v>
      </c>
      <c r="N12" s="35">
        <v>15000</v>
      </c>
      <c r="O12" s="35">
        <v>12000</v>
      </c>
      <c r="P12" s="35">
        <v>7000</v>
      </c>
      <c r="Q12" s="35">
        <v>7000</v>
      </c>
      <c r="R12" s="35">
        <v>36000</v>
      </c>
      <c r="S12" s="35">
        <v>27000</v>
      </c>
      <c r="T12" s="35">
        <v>12500</v>
      </c>
      <c r="U12" s="35">
        <v>6900</v>
      </c>
      <c r="V12" s="35">
        <v>6000</v>
      </c>
    </row>
    <row r="13" spans="5:22" s="4" customFormat="1" x14ac:dyDescent="0.25">
      <c r="F13" s="1"/>
      <c r="G13" s="148"/>
      <c r="H13" s="1" t="s">
        <v>166</v>
      </c>
      <c r="I13" s="1"/>
      <c r="J13" s="35">
        <v>100000</v>
      </c>
      <c r="K13" s="35">
        <v>110200</v>
      </c>
      <c r="L13" s="35">
        <v>110700</v>
      </c>
      <c r="M13" s="35">
        <v>111200</v>
      </c>
      <c r="N13" s="35">
        <v>111700</v>
      </c>
      <c r="O13" s="35">
        <v>112200</v>
      </c>
      <c r="P13" s="35">
        <v>112700</v>
      </c>
      <c r="Q13" s="35">
        <v>113200</v>
      </c>
      <c r="R13" s="35">
        <v>113700</v>
      </c>
      <c r="S13" s="35">
        <v>114200</v>
      </c>
      <c r="T13" s="35">
        <v>114700</v>
      </c>
      <c r="U13" s="35">
        <v>115200</v>
      </c>
      <c r="V13" s="35">
        <v>115700</v>
      </c>
    </row>
    <row r="14" spans="5:22" x14ac:dyDescent="0.25">
      <c r="F14" s="1"/>
      <c r="G14" s="148"/>
      <c r="H14" s="1" t="s">
        <v>135</v>
      </c>
      <c r="I14" s="1"/>
      <c r="J14" s="35">
        <v>40343</v>
      </c>
      <c r="K14" s="35">
        <v>8000</v>
      </c>
      <c r="L14" s="35">
        <v>7500</v>
      </c>
      <c r="M14" s="35">
        <v>7400</v>
      </c>
      <c r="N14" s="137">
        <v>6500</v>
      </c>
      <c r="O14" s="137">
        <v>5200</v>
      </c>
      <c r="P14" s="35">
        <v>4800</v>
      </c>
      <c r="Q14" s="35">
        <v>5000</v>
      </c>
      <c r="R14" s="35">
        <v>8850</v>
      </c>
      <c r="S14" s="35">
        <v>10000</v>
      </c>
      <c r="T14" s="35">
        <v>21000</v>
      </c>
      <c r="U14" s="35">
        <v>28000</v>
      </c>
      <c r="V14" s="35">
        <v>40000</v>
      </c>
    </row>
    <row r="15" spans="5:22" x14ac:dyDescent="0.25">
      <c r="F15" s="1"/>
      <c r="G15" s="148"/>
      <c r="H15" s="1" t="s">
        <v>119</v>
      </c>
      <c r="I15" s="1"/>
      <c r="J15" s="35">
        <v>4438</v>
      </c>
      <c r="K15" s="35">
        <v>4438</v>
      </c>
      <c r="L15" s="35">
        <v>4438</v>
      </c>
      <c r="M15" s="35">
        <v>4438</v>
      </c>
      <c r="N15" s="137">
        <v>4438</v>
      </c>
      <c r="O15" s="137">
        <v>4438</v>
      </c>
      <c r="P15" s="35">
        <v>4438</v>
      </c>
      <c r="Q15" s="35">
        <v>4438</v>
      </c>
      <c r="R15" s="35">
        <v>4438</v>
      </c>
      <c r="S15" s="35">
        <v>4438</v>
      </c>
      <c r="T15" s="35">
        <v>4438</v>
      </c>
      <c r="U15" s="35">
        <v>4438</v>
      </c>
      <c r="V15" s="35">
        <v>4438</v>
      </c>
    </row>
    <row r="16" spans="5:22" x14ac:dyDescent="0.25">
      <c r="F16" s="1"/>
      <c r="G16" s="148"/>
      <c r="H16" s="1" t="s">
        <v>130</v>
      </c>
      <c r="I16" s="1"/>
      <c r="J16" s="35">
        <v>1721</v>
      </c>
      <c r="K16" s="35">
        <v>1721</v>
      </c>
      <c r="L16" s="35">
        <v>1721</v>
      </c>
      <c r="M16" s="35">
        <v>1721</v>
      </c>
      <c r="N16" s="137">
        <v>1721</v>
      </c>
      <c r="O16" s="137">
        <v>1721</v>
      </c>
      <c r="P16" s="35">
        <v>1721</v>
      </c>
      <c r="Q16" s="35">
        <v>1721</v>
      </c>
      <c r="R16" s="35">
        <v>1721</v>
      </c>
      <c r="S16" s="35">
        <v>1721</v>
      </c>
      <c r="T16" s="35">
        <v>1721</v>
      </c>
      <c r="U16" s="35">
        <v>1721</v>
      </c>
      <c r="V16" s="35">
        <v>1721</v>
      </c>
    </row>
    <row r="17" spans="5:22" x14ac:dyDescent="0.25">
      <c r="F17" s="1"/>
      <c r="G17" s="148"/>
      <c r="H17" s="1" t="s">
        <v>131</v>
      </c>
      <c r="I17" s="1"/>
      <c r="J17" s="35">
        <v>45327</v>
      </c>
      <c r="K17" s="35">
        <v>46000</v>
      </c>
      <c r="L17" s="35">
        <v>44900</v>
      </c>
      <c r="M17" s="35">
        <v>51475</v>
      </c>
      <c r="N17" s="35">
        <v>64375</v>
      </c>
      <c r="O17" s="35">
        <v>73525</v>
      </c>
      <c r="P17" s="35">
        <v>71175</v>
      </c>
      <c r="Q17" s="35">
        <v>61675</v>
      </c>
      <c r="R17" s="35">
        <v>72175</v>
      </c>
      <c r="S17" s="35">
        <v>69175</v>
      </c>
      <c r="T17" s="35">
        <v>66875</v>
      </c>
      <c r="U17" s="35">
        <v>64175</v>
      </c>
      <c r="V17" s="35">
        <v>61475</v>
      </c>
    </row>
    <row r="18" spans="5:22" x14ac:dyDescent="0.25">
      <c r="F18" s="1"/>
      <c r="G18" s="148"/>
      <c r="H18" s="1" t="s">
        <v>134</v>
      </c>
      <c r="I18" s="1"/>
      <c r="J18" s="35">
        <v>6104</v>
      </c>
      <c r="K18" s="35">
        <v>6104</v>
      </c>
      <c r="L18" s="35">
        <v>6104</v>
      </c>
      <c r="M18" s="35">
        <v>6104</v>
      </c>
      <c r="N18" s="137">
        <v>6104</v>
      </c>
      <c r="O18" s="137">
        <v>6104</v>
      </c>
      <c r="P18" s="35">
        <v>6104</v>
      </c>
      <c r="Q18" s="35">
        <v>6104</v>
      </c>
      <c r="R18" s="35">
        <v>6104</v>
      </c>
      <c r="S18" s="35">
        <v>6104</v>
      </c>
      <c r="T18" s="35">
        <v>6104</v>
      </c>
      <c r="U18" s="35">
        <v>6104</v>
      </c>
      <c r="V18" s="35">
        <v>6104</v>
      </c>
    </row>
    <row r="19" spans="5:22" x14ac:dyDescent="0.25">
      <c r="F19" s="1"/>
      <c r="G19" s="148"/>
      <c r="H19" s="1" t="s">
        <v>141</v>
      </c>
      <c r="I19" s="1"/>
      <c r="J19" s="35">
        <v>10500</v>
      </c>
      <c r="K19" s="35">
        <v>9000</v>
      </c>
      <c r="L19" s="35">
        <v>7500</v>
      </c>
      <c r="M19" s="35">
        <v>6000</v>
      </c>
      <c r="N19" s="137">
        <v>4500</v>
      </c>
      <c r="O19" s="137">
        <v>3000</v>
      </c>
      <c r="P19" s="35">
        <v>1500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</row>
    <row r="20" spans="5:22" ht="15" x14ac:dyDescent="0.4">
      <c r="F20" s="1"/>
      <c r="G20" s="148"/>
      <c r="H20" s="1" t="s">
        <v>22</v>
      </c>
      <c r="I20" s="1"/>
      <c r="J20" s="90">
        <v>245576</v>
      </c>
      <c r="K20" s="90">
        <f>SUM(K21-K12-K13-K14-K15-K16-K17-K18-K19)</f>
        <v>281259.44</v>
      </c>
      <c r="L20" s="90">
        <f t="shared" ref="L20:V20" si="0">SUM(L21-L12-L13-L14-L15-L16-L17-L18-L19)</f>
        <v>385270.04000000004</v>
      </c>
      <c r="M20" s="90">
        <f t="shared" si="0"/>
        <v>362498.54000000004</v>
      </c>
      <c r="N20" s="90">
        <f t="shared" si="0"/>
        <v>414232.54000000004</v>
      </c>
      <c r="O20" s="90">
        <f t="shared" si="0"/>
        <v>309548.54000000004</v>
      </c>
      <c r="P20" s="90">
        <f t="shared" si="0"/>
        <v>247387.54000000004</v>
      </c>
      <c r="Q20" s="90">
        <f t="shared" si="0"/>
        <v>282681.54000000004</v>
      </c>
      <c r="R20" s="90">
        <f t="shared" si="0"/>
        <v>270382.54000000004</v>
      </c>
      <c r="S20" s="90">
        <f t="shared" si="0"/>
        <v>268871.54000000004</v>
      </c>
      <c r="T20" s="90">
        <f t="shared" si="0"/>
        <v>246625.54000000004</v>
      </c>
      <c r="U20" s="90">
        <f t="shared" si="0"/>
        <v>318756.54000000004</v>
      </c>
      <c r="V20" s="90">
        <f t="shared" si="0"/>
        <v>332839.54000000004</v>
      </c>
    </row>
    <row r="21" spans="5:22" x14ac:dyDescent="0.25">
      <c r="F21" s="1"/>
      <c r="G21" s="148"/>
      <c r="H21" s="1" t="s">
        <v>23</v>
      </c>
      <c r="I21" s="1"/>
      <c r="J21" s="35">
        <f>SUM(J12:J20)</f>
        <v>470593</v>
      </c>
      <c r="K21" s="35">
        <f>CF!G33</f>
        <v>472722.44</v>
      </c>
      <c r="L21" s="35">
        <f>CF!H33</f>
        <v>598133.04</v>
      </c>
      <c r="M21" s="35">
        <f>CF!I33</f>
        <v>568836.54</v>
      </c>
      <c r="N21" s="35">
        <f>CF!J33</f>
        <v>628570.54</v>
      </c>
      <c r="O21" s="35">
        <f>CF!K33</f>
        <v>527736.54</v>
      </c>
      <c r="P21" s="35">
        <f>CF!L33</f>
        <v>456825.54000000004</v>
      </c>
      <c r="Q21" s="35">
        <f>CF!M33</f>
        <v>481819.54000000004</v>
      </c>
      <c r="R21" s="35">
        <f>CF!N33</f>
        <v>513370.54000000004</v>
      </c>
      <c r="S21" s="35">
        <f>CF!O33</f>
        <v>501509.54000000004</v>
      </c>
      <c r="T21" s="35">
        <f>CF!P33</f>
        <v>473963.54000000004</v>
      </c>
      <c r="U21" s="35">
        <f>CF!Q33</f>
        <v>545294.54</v>
      </c>
      <c r="V21" s="35">
        <f>CF!R33</f>
        <v>568277.54</v>
      </c>
    </row>
    <row r="22" spans="5:22" x14ac:dyDescent="0.25">
      <c r="E22" s="91"/>
      <c r="F22" s="1"/>
      <c r="G22" s="148" t="s">
        <v>28</v>
      </c>
      <c r="H22" s="1"/>
      <c r="I22" s="1"/>
      <c r="J22" s="35">
        <v>0</v>
      </c>
      <c r="K22" s="35">
        <f>SUM('BS wrksht'!C17)</f>
        <v>0</v>
      </c>
      <c r="L22" s="35">
        <f>SUM('BS wrksht'!D17)</f>
        <v>1000</v>
      </c>
      <c r="M22" s="35">
        <f>SUM('BS wrksht'!E17)</f>
        <v>-1000</v>
      </c>
      <c r="N22" s="35">
        <f>SUM('BS wrksht'!F17)</f>
        <v>2000</v>
      </c>
      <c r="O22" s="35">
        <f>SUM('BS wrksht'!G17)</f>
        <v>0</v>
      </c>
      <c r="P22" s="35">
        <f>SUM('BS wrksht'!H17)</f>
        <v>1000</v>
      </c>
      <c r="Q22" s="35">
        <f>SUM('BS wrksht'!I17)</f>
        <v>0</v>
      </c>
      <c r="R22" s="35">
        <f>SUM('BS wrksht'!J17)</f>
        <v>4000</v>
      </c>
      <c r="S22" s="35">
        <f>SUM('BS wrksht'!K17)</f>
        <v>0</v>
      </c>
      <c r="T22" s="35">
        <f>SUM('BS wrksht'!L17)</f>
        <v>1000</v>
      </c>
      <c r="U22" s="35">
        <f>SUM('BS wrksht'!M17)</f>
        <v>2000</v>
      </c>
      <c r="V22" s="35">
        <f>SUM('BS wrksht'!N17)</f>
        <v>0</v>
      </c>
    </row>
    <row r="23" spans="5:22" x14ac:dyDescent="0.25">
      <c r="E23" s="91"/>
      <c r="F23" s="1"/>
      <c r="G23" s="148" t="s">
        <v>29</v>
      </c>
      <c r="H23" s="1"/>
      <c r="I23" s="1"/>
      <c r="J23" s="35">
        <v>58840</v>
      </c>
      <c r="K23" s="35">
        <f>SUM('BS wrksht'!C12)</f>
        <v>46152.560000000005</v>
      </c>
      <c r="L23" s="35">
        <f>SUM('BS wrksht'!D12)</f>
        <v>35382.959999999992</v>
      </c>
      <c r="M23" s="35">
        <f>SUM('BS wrksht'!E12)</f>
        <v>34363.459999999992</v>
      </c>
      <c r="N23" s="35">
        <f>SUM('BS wrksht'!F12)</f>
        <v>17018.459999999992</v>
      </c>
      <c r="O23" s="35">
        <f>SUM('BS wrksht'!G12)</f>
        <v>20738.459999999992</v>
      </c>
      <c r="P23" s="35">
        <f>SUM('BS wrksht'!H12)</f>
        <v>42918.459999999992</v>
      </c>
      <c r="Q23" s="35">
        <f>SUM('BS wrksht'!I12)</f>
        <v>22243.459999999992</v>
      </c>
      <c r="R23" s="35">
        <f>SUM('BS wrksht'!J12)</f>
        <v>26943.459999999992</v>
      </c>
      <c r="S23" s="35">
        <f>SUM('BS wrksht'!K12)</f>
        <v>51698.459999999992</v>
      </c>
      <c r="T23" s="35">
        <f>SUM('BS wrksht'!L12)</f>
        <v>40818.459999999992</v>
      </c>
      <c r="U23" s="35">
        <f>SUM('BS wrksht'!M12)</f>
        <v>48488.459999999992</v>
      </c>
      <c r="V23" s="35">
        <f>SUM('BS wrksht'!N12)</f>
        <v>42894.459999999992</v>
      </c>
    </row>
    <row r="24" spans="5:22" s="4" customFormat="1" x14ac:dyDescent="0.25">
      <c r="E24" s="91"/>
      <c r="F24" s="1"/>
      <c r="G24" s="148" t="s">
        <v>24</v>
      </c>
      <c r="H24" s="1"/>
      <c r="I24" s="1"/>
      <c r="J24" s="35">
        <v>37143</v>
      </c>
      <c r="K24" s="35">
        <f>SUM('BS wrksht'!C23)</f>
        <v>26169</v>
      </c>
      <c r="L24" s="35">
        <f>SUM('BS wrksht'!D23)</f>
        <v>27169</v>
      </c>
      <c r="M24" s="35">
        <f>SUM('BS wrksht'!E23)</f>
        <v>25169</v>
      </c>
      <c r="N24" s="35">
        <f>SUM('BS wrksht'!F23)</f>
        <v>28169</v>
      </c>
      <c r="O24" s="35">
        <f>SUM('BS wrksht'!G23)</f>
        <v>26169</v>
      </c>
      <c r="P24" s="35">
        <f>SUM('BS wrksht'!H23)</f>
        <v>27169</v>
      </c>
      <c r="Q24" s="35">
        <f>SUM('BS wrksht'!I23)</f>
        <v>26169</v>
      </c>
      <c r="R24" s="35">
        <f>SUM('BS wrksht'!J23)</f>
        <v>30169</v>
      </c>
      <c r="S24" s="35">
        <f>SUM('BS wrksht'!K23)</f>
        <v>26169</v>
      </c>
      <c r="T24" s="35">
        <f>SUM('BS wrksht'!L23)</f>
        <v>27169</v>
      </c>
      <c r="U24" s="35">
        <f>SUM('BS wrksht'!M23)</f>
        <v>28169</v>
      </c>
      <c r="V24" s="35">
        <f>SUM('BS wrksht'!N23)</f>
        <v>25169</v>
      </c>
    </row>
    <row r="25" spans="5:22" x14ac:dyDescent="0.25">
      <c r="E25" s="4"/>
      <c r="F25" s="1"/>
      <c r="G25" s="148" t="s">
        <v>3</v>
      </c>
      <c r="H25" s="1"/>
      <c r="I25" s="1"/>
      <c r="J25" s="35">
        <v>1996</v>
      </c>
      <c r="K25" s="35">
        <v>4000</v>
      </c>
      <c r="L25" s="35">
        <v>7000</v>
      </c>
      <c r="M25" s="35">
        <v>8000</v>
      </c>
      <c r="N25" s="35">
        <v>9000</v>
      </c>
      <c r="O25" s="35">
        <v>8400</v>
      </c>
      <c r="P25" s="35">
        <v>13000</v>
      </c>
      <c r="Q25" s="35">
        <v>12400</v>
      </c>
      <c r="R25" s="35">
        <v>11400</v>
      </c>
      <c r="S25" s="35">
        <v>9000</v>
      </c>
      <c r="T25" s="35">
        <v>5000</v>
      </c>
      <c r="U25" s="35">
        <v>3000</v>
      </c>
      <c r="V25" s="35">
        <v>2000</v>
      </c>
    </row>
    <row r="26" spans="5:22" x14ac:dyDescent="0.25">
      <c r="F26" s="1"/>
      <c r="G26" s="148" t="s">
        <v>25</v>
      </c>
      <c r="H26" s="1"/>
      <c r="I26" s="1"/>
      <c r="J26" s="35">
        <v>34857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v>0</v>
      </c>
      <c r="Q26" s="89">
        <v>0</v>
      </c>
      <c r="R26" s="89">
        <v>0</v>
      </c>
      <c r="S26" s="89">
        <v>0</v>
      </c>
      <c r="T26" s="89">
        <v>0</v>
      </c>
      <c r="U26" s="89">
        <v>0</v>
      </c>
      <c r="V26" s="89">
        <v>0</v>
      </c>
    </row>
    <row r="27" spans="5:22" ht="11.25" customHeight="1" x14ac:dyDescent="0.25">
      <c r="G27" s="132" t="s">
        <v>4</v>
      </c>
      <c r="H27" s="132"/>
      <c r="I27" s="132"/>
      <c r="J27" s="92">
        <f>SUM(J21:J26)</f>
        <v>603429</v>
      </c>
      <c r="K27" s="92">
        <f>SUM(K21:K26)</f>
        <v>549044</v>
      </c>
      <c r="L27" s="92">
        <f t="shared" ref="L27:V27" si="1">SUM(L21:L26)</f>
        <v>668685</v>
      </c>
      <c r="M27" s="92">
        <f t="shared" si="1"/>
        <v>635369</v>
      </c>
      <c r="N27" s="92">
        <f t="shared" si="1"/>
        <v>684758</v>
      </c>
      <c r="O27" s="92">
        <f t="shared" si="1"/>
        <v>583044</v>
      </c>
      <c r="P27" s="92">
        <f t="shared" si="1"/>
        <v>540913</v>
      </c>
      <c r="Q27" s="92">
        <f t="shared" si="1"/>
        <v>542632</v>
      </c>
      <c r="R27" s="92">
        <f t="shared" si="1"/>
        <v>585883</v>
      </c>
      <c r="S27" s="92">
        <f t="shared" si="1"/>
        <v>588377</v>
      </c>
      <c r="T27" s="92">
        <f t="shared" si="1"/>
        <v>547951</v>
      </c>
      <c r="U27" s="92">
        <f t="shared" si="1"/>
        <v>626952</v>
      </c>
      <c r="V27" s="92">
        <f t="shared" si="1"/>
        <v>638341</v>
      </c>
    </row>
    <row r="28" spans="5:22" x14ac:dyDescent="0.25">
      <c r="G28" s="132"/>
      <c r="H28" s="132"/>
      <c r="I28" s="132"/>
      <c r="J28" s="93"/>
      <c r="K28" s="94"/>
      <c r="L28" s="94"/>
      <c r="M28" s="94"/>
      <c r="N28" s="130"/>
      <c r="O28" s="130"/>
      <c r="P28" s="130"/>
      <c r="Q28" s="130"/>
      <c r="R28" s="130"/>
      <c r="S28" s="130"/>
      <c r="T28" s="130"/>
      <c r="U28" s="130"/>
      <c r="V28" s="130"/>
    </row>
    <row r="29" spans="5:22" x14ac:dyDescent="0.25">
      <c r="F29" s="149"/>
      <c r="G29" s="132" t="s">
        <v>5</v>
      </c>
      <c r="H29" s="1"/>
      <c r="I29" s="1"/>
      <c r="J29" s="93"/>
      <c r="K29" s="94"/>
      <c r="L29" s="94"/>
      <c r="M29" s="94"/>
      <c r="N29" s="130"/>
      <c r="O29" s="130"/>
      <c r="P29" s="130"/>
      <c r="Q29" s="130"/>
      <c r="R29" s="130"/>
      <c r="S29" s="130"/>
      <c r="T29" s="130"/>
      <c r="U29" s="130"/>
      <c r="V29" s="130"/>
    </row>
    <row r="30" spans="5:22" x14ac:dyDescent="0.25">
      <c r="F30" s="1"/>
      <c r="G30" s="1" t="s">
        <v>6</v>
      </c>
      <c r="H30" s="1"/>
      <c r="I30" s="1"/>
      <c r="J30" s="35">
        <v>153901</v>
      </c>
      <c r="K30" s="35">
        <v>153901</v>
      </c>
      <c r="L30" s="35">
        <v>153901</v>
      </c>
      <c r="M30" s="35">
        <v>153901</v>
      </c>
      <c r="N30" s="35">
        <v>153901</v>
      </c>
      <c r="O30" s="35">
        <v>153901</v>
      </c>
      <c r="P30" s="35">
        <v>153901</v>
      </c>
      <c r="Q30" s="35">
        <v>153901</v>
      </c>
      <c r="R30" s="35">
        <v>153901</v>
      </c>
      <c r="S30" s="35">
        <v>153901</v>
      </c>
      <c r="T30" s="35">
        <v>153901</v>
      </c>
      <c r="U30" s="35">
        <v>153901</v>
      </c>
      <c r="V30" s="35">
        <v>153901</v>
      </c>
    </row>
    <row r="31" spans="5:22" s="4" customFormat="1" x14ac:dyDescent="0.25">
      <c r="E31"/>
      <c r="F31" s="1"/>
      <c r="G31" s="1" t="s">
        <v>7</v>
      </c>
      <c r="H31" s="1"/>
      <c r="I31" s="1"/>
      <c r="J31" s="35">
        <v>-15458</v>
      </c>
      <c r="K31" s="35">
        <v>-15458</v>
      </c>
      <c r="L31" s="35">
        <v>-15458</v>
      </c>
      <c r="M31" s="35">
        <v>-15458</v>
      </c>
      <c r="N31" s="35">
        <v>-15458</v>
      </c>
      <c r="O31" s="35">
        <v>-15458</v>
      </c>
      <c r="P31" s="35">
        <v>-15458</v>
      </c>
      <c r="Q31" s="35">
        <v>-15458</v>
      </c>
      <c r="R31" s="35">
        <v>-15458</v>
      </c>
      <c r="S31" s="35">
        <v>-15458</v>
      </c>
      <c r="T31" s="35">
        <v>-15458</v>
      </c>
      <c r="U31" s="35">
        <v>-15458</v>
      </c>
      <c r="V31" s="35">
        <v>-15458</v>
      </c>
    </row>
    <row r="32" spans="5:22" ht="16.8" customHeight="1" x14ac:dyDescent="0.25">
      <c r="E32" s="4"/>
      <c r="F32" s="4"/>
      <c r="G32" s="3" t="s">
        <v>8</v>
      </c>
      <c r="H32" s="3"/>
      <c r="I32" s="3"/>
      <c r="J32" s="95">
        <f>SUM(J30:J31)</f>
        <v>138443</v>
      </c>
      <c r="K32" s="95">
        <f>SUM(K30:K31)</f>
        <v>138443</v>
      </c>
      <c r="L32" s="95">
        <f t="shared" ref="L32:V32" si="2">SUM(L30:L31)</f>
        <v>138443</v>
      </c>
      <c r="M32" s="95">
        <f t="shared" si="2"/>
        <v>138443</v>
      </c>
      <c r="N32" s="95">
        <f t="shared" si="2"/>
        <v>138443</v>
      </c>
      <c r="O32" s="95">
        <f t="shared" si="2"/>
        <v>138443</v>
      </c>
      <c r="P32" s="95">
        <f t="shared" si="2"/>
        <v>138443</v>
      </c>
      <c r="Q32" s="95">
        <f t="shared" si="2"/>
        <v>138443</v>
      </c>
      <c r="R32" s="95">
        <f t="shared" si="2"/>
        <v>138443</v>
      </c>
      <c r="S32" s="95">
        <f t="shared" si="2"/>
        <v>138443</v>
      </c>
      <c r="T32" s="95">
        <f t="shared" si="2"/>
        <v>138443</v>
      </c>
      <c r="U32" s="95">
        <f t="shared" si="2"/>
        <v>138443</v>
      </c>
      <c r="V32" s="95">
        <f t="shared" si="2"/>
        <v>138443</v>
      </c>
    </row>
    <row r="33" spans="5:22" s="4" customFormat="1" x14ac:dyDescent="0.25">
      <c r="E33"/>
      <c r="F33"/>
      <c r="G33" s="132"/>
      <c r="H33" s="132"/>
      <c r="I33" s="132"/>
      <c r="J33" s="138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</row>
    <row r="34" spans="5:22" s="4" customFormat="1" x14ac:dyDescent="0.25">
      <c r="G34" s="148" t="s">
        <v>167</v>
      </c>
      <c r="H34" s="1"/>
      <c r="I34" s="1"/>
      <c r="J34" s="151">
        <v>280</v>
      </c>
      <c r="K34" s="151">
        <v>280</v>
      </c>
      <c r="L34" s="151">
        <v>280</v>
      </c>
      <c r="M34" s="151">
        <v>280</v>
      </c>
      <c r="N34" s="151">
        <v>280</v>
      </c>
      <c r="O34" s="151">
        <v>280</v>
      </c>
      <c r="P34" s="151">
        <v>280</v>
      </c>
      <c r="Q34" s="151">
        <v>280</v>
      </c>
      <c r="R34" s="151">
        <v>280</v>
      </c>
      <c r="S34" s="151">
        <v>280</v>
      </c>
      <c r="T34" s="151">
        <v>280</v>
      </c>
      <c r="U34" s="151">
        <v>280</v>
      </c>
      <c r="V34" s="151">
        <v>280</v>
      </c>
    </row>
    <row r="35" spans="5:22" x14ac:dyDescent="0.25">
      <c r="E35" s="4"/>
      <c r="F35" s="1"/>
      <c r="G35" s="148" t="s">
        <v>168</v>
      </c>
      <c r="H35" s="1"/>
      <c r="I35" s="1"/>
      <c r="J35" s="35">
        <v>68236</v>
      </c>
      <c r="K35" s="35">
        <v>69000</v>
      </c>
      <c r="L35" s="35">
        <v>69750</v>
      </c>
      <c r="M35" s="35">
        <v>70500</v>
      </c>
      <c r="N35" s="35">
        <v>71250</v>
      </c>
      <c r="O35" s="35">
        <v>72000</v>
      </c>
      <c r="P35" s="35">
        <v>72750</v>
      </c>
      <c r="Q35" s="35">
        <v>73500</v>
      </c>
      <c r="R35" s="35">
        <v>74250</v>
      </c>
      <c r="S35" s="35">
        <v>75000</v>
      </c>
      <c r="T35" s="35">
        <v>75750</v>
      </c>
      <c r="U35" s="35">
        <v>76500</v>
      </c>
      <c r="V35" s="35">
        <v>77250</v>
      </c>
    </row>
    <row r="36" spans="5:22" ht="13.8" thickBot="1" x14ac:dyDescent="0.3">
      <c r="G36" s="132" t="s">
        <v>9</v>
      </c>
      <c r="H36" s="132"/>
      <c r="I36" s="132"/>
      <c r="J36" s="97">
        <f>J27+J32+J34+J35</f>
        <v>810388</v>
      </c>
      <c r="K36" s="97">
        <f t="shared" ref="K36:V36" si="3">K27+K32+K34+K35</f>
        <v>756767</v>
      </c>
      <c r="L36" s="97">
        <f t="shared" si="3"/>
        <v>877158</v>
      </c>
      <c r="M36" s="97">
        <f t="shared" si="3"/>
        <v>844592</v>
      </c>
      <c r="N36" s="97">
        <f t="shared" si="3"/>
        <v>894731</v>
      </c>
      <c r="O36" s="97">
        <f t="shared" si="3"/>
        <v>793767</v>
      </c>
      <c r="P36" s="97">
        <f t="shared" si="3"/>
        <v>752386</v>
      </c>
      <c r="Q36" s="97">
        <f t="shared" si="3"/>
        <v>754855</v>
      </c>
      <c r="R36" s="97">
        <f t="shared" si="3"/>
        <v>798856</v>
      </c>
      <c r="S36" s="97">
        <f t="shared" si="3"/>
        <v>802100</v>
      </c>
      <c r="T36" s="97">
        <f t="shared" si="3"/>
        <v>762424</v>
      </c>
      <c r="U36" s="97">
        <f t="shared" si="3"/>
        <v>842175</v>
      </c>
      <c r="V36" s="97">
        <f t="shared" si="3"/>
        <v>854314</v>
      </c>
    </row>
    <row r="37" spans="5:22" ht="13.8" thickTop="1" x14ac:dyDescent="0.25">
      <c r="F37" s="1"/>
      <c r="G37" s="1"/>
      <c r="H37" s="1"/>
      <c r="I37" s="1"/>
      <c r="J37" s="93"/>
      <c r="K37" s="94"/>
      <c r="L37" s="94"/>
      <c r="M37" s="94"/>
      <c r="N37" s="130"/>
      <c r="O37" s="130"/>
      <c r="P37" s="130"/>
      <c r="Q37" s="130"/>
      <c r="R37" s="130"/>
      <c r="S37" s="130"/>
      <c r="T37" s="130"/>
      <c r="U37" s="130"/>
      <c r="V37" s="130"/>
    </row>
    <row r="38" spans="5:22" x14ac:dyDescent="0.25">
      <c r="F38" s="132" t="s">
        <v>10</v>
      </c>
      <c r="G38" s="132"/>
      <c r="H38" s="132"/>
      <c r="I38" s="132"/>
      <c r="J38" s="139"/>
      <c r="K38" s="98"/>
      <c r="L38" s="98"/>
      <c r="M38" s="98"/>
      <c r="N38" s="130"/>
      <c r="O38" s="130"/>
      <c r="P38" s="130"/>
      <c r="Q38" s="130"/>
      <c r="R38" s="130"/>
      <c r="S38" s="130"/>
      <c r="T38" s="130"/>
      <c r="U38" s="130"/>
      <c r="V38" s="130"/>
    </row>
    <row r="39" spans="5:22" s="4" customFormat="1" x14ac:dyDescent="0.25">
      <c r="E39"/>
      <c r="F39"/>
      <c r="G39" s="132" t="s">
        <v>11</v>
      </c>
      <c r="H39" s="132"/>
      <c r="I39" s="132"/>
      <c r="J39" s="35"/>
      <c r="K39" s="89"/>
      <c r="L39" s="89"/>
      <c r="M39" s="89"/>
      <c r="N39" s="130"/>
      <c r="O39" s="130"/>
      <c r="P39" s="130"/>
      <c r="Q39" s="130"/>
      <c r="R39" s="130"/>
      <c r="S39" s="130"/>
      <c r="T39" s="130"/>
      <c r="U39" s="130"/>
      <c r="V39" s="130"/>
    </row>
    <row r="40" spans="5:22" x14ac:dyDescent="0.25">
      <c r="E40" s="4"/>
      <c r="F40" s="4"/>
      <c r="G40" s="148" t="s">
        <v>12</v>
      </c>
      <c r="H40" s="1"/>
      <c r="I40" s="1"/>
      <c r="J40" s="35">
        <v>8282</v>
      </c>
      <c r="K40" s="35">
        <f>SUM('BS wrksht'!C29)</f>
        <v>24338</v>
      </c>
      <c r="L40" s="35">
        <f>SUM('BS wrksht'!D29)</f>
        <v>131655</v>
      </c>
      <c r="M40" s="35">
        <f>SUM('BS wrksht'!E29)</f>
        <v>121150</v>
      </c>
      <c r="N40" s="35">
        <f>SUM('BS wrksht'!F29)</f>
        <v>124393</v>
      </c>
      <c r="O40" s="35">
        <f>SUM('BS wrksht'!G29)</f>
        <v>58340</v>
      </c>
      <c r="P40" s="35">
        <f>SUM('BS wrksht'!H29)</f>
        <v>38165</v>
      </c>
      <c r="Q40" s="35">
        <f>SUM('BS wrksht'!I29)</f>
        <v>44283</v>
      </c>
      <c r="R40" s="35">
        <f>SUM('BS wrksht'!J29)</f>
        <v>47030</v>
      </c>
      <c r="S40" s="35">
        <f>SUM('BS wrksht'!K29)</f>
        <v>61185</v>
      </c>
      <c r="T40" s="35">
        <f>SUM('BS wrksht'!L29)</f>
        <v>29618</v>
      </c>
      <c r="U40" s="35">
        <f>SUM('BS wrksht'!M29)</f>
        <v>117860</v>
      </c>
      <c r="V40" s="35">
        <f>SUM('BS wrksht'!N29)</f>
        <v>101645</v>
      </c>
    </row>
    <row r="41" spans="5:22" s="4" customFormat="1" x14ac:dyDescent="0.25">
      <c r="E41"/>
      <c r="F41"/>
      <c r="G41" s="148" t="s">
        <v>27</v>
      </c>
      <c r="H41" s="1"/>
      <c r="I41" s="1"/>
      <c r="J41" s="35">
        <v>40343</v>
      </c>
      <c r="K41" s="35">
        <v>8000</v>
      </c>
      <c r="L41" s="35">
        <v>7500</v>
      </c>
      <c r="M41" s="35">
        <v>7400</v>
      </c>
      <c r="N41" s="137">
        <v>6500</v>
      </c>
      <c r="O41" s="137">
        <v>5200</v>
      </c>
      <c r="P41" s="35">
        <v>4800</v>
      </c>
      <c r="Q41" s="35">
        <v>5000</v>
      </c>
      <c r="R41" s="35">
        <v>8850</v>
      </c>
      <c r="S41" s="35">
        <v>10000</v>
      </c>
      <c r="T41" s="35">
        <v>21000</v>
      </c>
      <c r="U41" s="35">
        <v>28000</v>
      </c>
      <c r="V41" s="35">
        <v>40000</v>
      </c>
    </row>
    <row r="42" spans="5:22" s="4" customFormat="1" x14ac:dyDescent="0.25">
      <c r="G42" s="148" t="s">
        <v>101</v>
      </c>
      <c r="H42" s="1"/>
      <c r="I42" s="1"/>
      <c r="J42" s="35">
        <v>16584</v>
      </c>
      <c r="K42" s="35">
        <v>6000</v>
      </c>
      <c r="L42" s="35">
        <v>30000</v>
      </c>
      <c r="M42" s="35">
        <v>18000</v>
      </c>
      <c r="N42" s="35">
        <v>15000</v>
      </c>
      <c r="O42" s="35">
        <v>12000</v>
      </c>
      <c r="P42" s="35">
        <v>7000</v>
      </c>
      <c r="Q42" s="35">
        <v>7000</v>
      </c>
      <c r="R42" s="35">
        <v>36000</v>
      </c>
      <c r="S42" s="35">
        <v>27000</v>
      </c>
      <c r="T42" s="35">
        <v>12500</v>
      </c>
      <c r="U42" s="35">
        <v>6900</v>
      </c>
      <c r="V42" s="35">
        <v>6000</v>
      </c>
    </row>
    <row r="43" spans="5:22" s="4" customFormat="1" x14ac:dyDescent="0.25">
      <c r="G43" s="148" t="s">
        <v>100</v>
      </c>
      <c r="H43" s="1"/>
      <c r="I43" s="1"/>
      <c r="J43" s="35">
        <v>-222</v>
      </c>
      <c r="K43" s="35">
        <v>5000</v>
      </c>
      <c r="L43" s="35">
        <v>40000</v>
      </c>
      <c r="M43" s="35">
        <v>50000</v>
      </c>
      <c r="N43" s="35">
        <v>35000</v>
      </c>
      <c r="O43" s="35">
        <v>2000</v>
      </c>
      <c r="P43" s="35">
        <v>2500</v>
      </c>
      <c r="Q43" s="35">
        <v>11000</v>
      </c>
      <c r="R43" s="35">
        <v>8500</v>
      </c>
      <c r="S43" s="35">
        <v>13000</v>
      </c>
      <c r="T43" s="35">
        <v>5100</v>
      </c>
      <c r="U43" s="35">
        <v>15300</v>
      </c>
      <c r="V43" s="35">
        <v>100</v>
      </c>
    </row>
    <row r="44" spans="5:22" x14ac:dyDescent="0.25">
      <c r="E44" s="4"/>
      <c r="F44" s="4"/>
      <c r="G44" s="148" t="s">
        <v>30</v>
      </c>
      <c r="H44" s="1"/>
      <c r="I44" s="1"/>
      <c r="J44" s="35">
        <v>5093</v>
      </c>
      <c r="K44" s="35">
        <v>4000</v>
      </c>
      <c r="L44" s="35">
        <v>4000</v>
      </c>
      <c r="M44" s="35">
        <v>4000</v>
      </c>
      <c r="N44" s="35">
        <v>4000</v>
      </c>
      <c r="O44" s="35">
        <v>4000</v>
      </c>
      <c r="P44" s="35">
        <v>4000</v>
      </c>
      <c r="Q44" s="35">
        <v>4000</v>
      </c>
      <c r="R44" s="35">
        <v>4000</v>
      </c>
      <c r="S44" s="35">
        <v>4000</v>
      </c>
      <c r="T44" s="35">
        <v>4000</v>
      </c>
      <c r="U44" s="35">
        <v>4000</v>
      </c>
      <c r="V44" s="35">
        <v>4000</v>
      </c>
    </row>
    <row r="45" spans="5:22" x14ac:dyDescent="0.25">
      <c r="G45" s="132" t="s">
        <v>13</v>
      </c>
      <c r="H45" s="132"/>
      <c r="I45" s="132"/>
      <c r="J45" s="95">
        <f>SUM(J40:J44)</f>
        <v>70080</v>
      </c>
      <c r="K45" s="95">
        <f>SUM(K40:K44)</f>
        <v>47338</v>
      </c>
      <c r="L45" s="95">
        <f t="shared" ref="L45:V45" si="4">SUM(L40:L44)</f>
        <v>213155</v>
      </c>
      <c r="M45" s="95">
        <f t="shared" si="4"/>
        <v>200550</v>
      </c>
      <c r="N45" s="95">
        <f t="shared" si="4"/>
        <v>184893</v>
      </c>
      <c r="O45" s="95">
        <f t="shared" si="4"/>
        <v>81540</v>
      </c>
      <c r="P45" s="95">
        <f t="shared" si="4"/>
        <v>56465</v>
      </c>
      <c r="Q45" s="95">
        <f t="shared" si="4"/>
        <v>71283</v>
      </c>
      <c r="R45" s="95">
        <f t="shared" si="4"/>
        <v>104380</v>
      </c>
      <c r="S45" s="95">
        <f t="shared" si="4"/>
        <v>115185</v>
      </c>
      <c r="T45" s="95">
        <f t="shared" si="4"/>
        <v>72218</v>
      </c>
      <c r="U45" s="95">
        <f t="shared" si="4"/>
        <v>172060</v>
      </c>
      <c r="V45" s="95">
        <f t="shared" si="4"/>
        <v>151745</v>
      </c>
    </row>
    <row r="46" spans="5:22" x14ac:dyDescent="0.25">
      <c r="F46" s="132"/>
      <c r="G46" s="132" t="s">
        <v>14</v>
      </c>
      <c r="H46" s="132"/>
      <c r="I46" s="132"/>
      <c r="J46" s="93"/>
      <c r="K46" s="94"/>
      <c r="L46" s="94"/>
      <c r="M46" s="94"/>
      <c r="N46" s="130"/>
      <c r="O46" s="130"/>
      <c r="P46" s="130"/>
      <c r="Q46" s="130"/>
      <c r="R46" s="130"/>
      <c r="S46" s="130"/>
      <c r="T46" s="130"/>
      <c r="U46" s="130"/>
      <c r="V46" s="130"/>
    </row>
    <row r="47" spans="5:22" x14ac:dyDescent="0.25">
      <c r="G47" s="148" t="s">
        <v>31</v>
      </c>
      <c r="H47" s="1"/>
      <c r="I47" s="1"/>
      <c r="J47" s="35">
        <v>668428</v>
      </c>
      <c r="K47" s="35">
        <v>740306</v>
      </c>
      <c r="L47" s="35">
        <v>740306</v>
      </c>
      <c r="M47" s="35">
        <v>740306</v>
      </c>
      <c r="N47" s="35">
        <v>740306</v>
      </c>
      <c r="O47" s="35">
        <v>740306</v>
      </c>
      <c r="P47" s="35">
        <v>740306</v>
      </c>
      <c r="Q47" s="35">
        <v>740306</v>
      </c>
      <c r="R47" s="35">
        <v>740306</v>
      </c>
      <c r="S47" s="35">
        <v>740306</v>
      </c>
      <c r="T47" s="35">
        <v>740306</v>
      </c>
      <c r="U47" s="35">
        <v>740306</v>
      </c>
      <c r="V47" s="35">
        <v>740306</v>
      </c>
    </row>
    <row r="48" spans="5:22" x14ac:dyDescent="0.25">
      <c r="F48" s="4"/>
      <c r="G48" s="148" t="s">
        <v>15</v>
      </c>
      <c r="H48" s="1"/>
      <c r="I48" s="1"/>
      <c r="J48" s="35">
        <v>71878</v>
      </c>
      <c r="K48" s="35">
        <f>'Income Statement'!B77</f>
        <v>-30879</v>
      </c>
      <c r="L48" s="35">
        <f>K48+'Income Statement'!C77</f>
        <v>-76305</v>
      </c>
      <c r="M48" s="35">
        <f>L48+'Income Statement'!D77</f>
        <v>-96266</v>
      </c>
      <c r="N48" s="35">
        <f>M48+'Income Statement'!E77</f>
        <v>-30470</v>
      </c>
      <c r="O48" s="35">
        <f>N48+'Income Statement'!F77</f>
        <v>-28081</v>
      </c>
      <c r="P48" s="35">
        <f>O48+'Income Statement'!G77</f>
        <v>-44387</v>
      </c>
      <c r="Q48" s="35">
        <f>P48+'Income Statement'!H77</f>
        <v>-56736</v>
      </c>
      <c r="R48" s="35">
        <f>Q48+'Income Statement'!I77</f>
        <v>-45832</v>
      </c>
      <c r="S48" s="35">
        <f>R48+'Income Statement'!J77</f>
        <v>-53393</v>
      </c>
      <c r="T48" s="35">
        <f>S48+'Income Statement'!K77</f>
        <v>-50102</v>
      </c>
      <c r="U48" s="35">
        <f>T48+'Income Statement'!L77</f>
        <v>-70193</v>
      </c>
      <c r="V48" s="35">
        <f>U48+'Income Statement'!M77</f>
        <v>-37739</v>
      </c>
    </row>
    <row r="49" spans="5:22" x14ac:dyDescent="0.25">
      <c r="F49" s="132"/>
      <c r="G49" s="132" t="s">
        <v>16</v>
      </c>
      <c r="H49" s="132"/>
      <c r="I49" s="132"/>
      <c r="J49" s="92">
        <f>SUM(J47:J48)</f>
        <v>740306</v>
      </c>
      <c r="K49" s="92">
        <f>SUM(K47:K48)</f>
        <v>709427</v>
      </c>
      <c r="L49" s="92">
        <f>SUM(L47:L48)</f>
        <v>664001</v>
      </c>
      <c r="M49" s="92">
        <f t="shared" ref="M49:V49" si="5">SUM(M47:M48)</f>
        <v>644040</v>
      </c>
      <c r="N49" s="92">
        <f t="shared" si="5"/>
        <v>709836</v>
      </c>
      <c r="O49" s="92">
        <f t="shared" si="5"/>
        <v>712225</v>
      </c>
      <c r="P49" s="92">
        <f t="shared" si="5"/>
        <v>695919</v>
      </c>
      <c r="Q49" s="92">
        <f t="shared" si="5"/>
        <v>683570</v>
      </c>
      <c r="R49" s="92">
        <f t="shared" si="5"/>
        <v>694474</v>
      </c>
      <c r="S49" s="92">
        <f t="shared" si="5"/>
        <v>686913</v>
      </c>
      <c r="T49" s="92">
        <f t="shared" si="5"/>
        <v>690204</v>
      </c>
      <c r="U49" s="92">
        <f t="shared" si="5"/>
        <v>670113</v>
      </c>
      <c r="V49" s="92">
        <f t="shared" si="5"/>
        <v>702567</v>
      </c>
    </row>
    <row r="50" spans="5:22" ht="13.8" thickBot="1" x14ac:dyDescent="0.3">
      <c r="F50" s="132"/>
      <c r="G50" s="132" t="s">
        <v>17</v>
      </c>
      <c r="H50" s="132"/>
      <c r="I50" s="132"/>
      <c r="J50" s="97">
        <f>J45+J49</f>
        <v>810386</v>
      </c>
      <c r="K50" s="97">
        <f>K45+K49</f>
        <v>756765</v>
      </c>
      <c r="L50" s="97">
        <f>L45+L49</f>
        <v>877156</v>
      </c>
      <c r="M50" s="97">
        <f t="shared" ref="M50:V50" si="6">M45+M49</f>
        <v>844590</v>
      </c>
      <c r="N50" s="97">
        <f t="shared" si="6"/>
        <v>894729</v>
      </c>
      <c r="O50" s="97">
        <f t="shared" si="6"/>
        <v>793765</v>
      </c>
      <c r="P50" s="97">
        <f t="shared" si="6"/>
        <v>752384</v>
      </c>
      <c r="Q50" s="97">
        <f t="shared" si="6"/>
        <v>754853</v>
      </c>
      <c r="R50" s="97">
        <f t="shared" si="6"/>
        <v>798854</v>
      </c>
      <c r="S50" s="97">
        <f t="shared" si="6"/>
        <v>802098</v>
      </c>
      <c r="T50" s="97">
        <f t="shared" si="6"/>
        <v>762422</v>
      </c>
      <c r="U50" s="97">
        <f t="shared" si="6"/>
        <v>842173</v>
      </c>
      <c r="V50" s="97">
        <f t="shared" si="6"/>
        <v>854312</v>
      </c>
    </row>
    <row r="51" spans="5:22" s="4" customFormat="1" ht="13.8" thickTop="1" x14ac:dyDescent="0.25">
      <c r="E51"/>
      <c r="F51" s="132"/>
      <c r="G51" s="132"/>
      <c r="H51" s="132"/>
      <c r="I51" s="132"/>
      <c r="J51" s="93"/>
      <c r="K51" s="94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</row>
    <row r="52" spans="5:22" x14ac:dyDescent="0.25">
      <c r="E52" s="4"/>
      <c r="F52" s="4"/>
      <c r="G52" s="3" t="s">
        <v>99</v>
      </c>
      <c r="H52" s="4"/>
      <c r="I52" s="4"/>
      <c r="J52" s="137">
        <f>J36-J50</f>
        <v>2</v>
      </c>
      <c r="K52" s="137">
        <f t="shared" ref="K52:V52" si="7">K36-K50</f>
        <v>2</v>
      </c>
      <c r="L52" s="137">
        <f t="shared" si="7"/>
        <v>2</v>
      </c>
      <c r="M52" s="137">
        <f t="shared" si="7"/>
        <v>2</v>
      </c>
      <c r="N52" s="137">
        <f t="shared" si="7"/>
        <v>2</v>
      </c>
      <c r="O52" s="137">
        <f t="shared" si="7"/>
        <v>2</v>
      </c>
      <c r="P52" s="137">
        <f t="shared" si="7"/>
        <v>2</v>
      </c>
      <c r="Q52" s="137">
        <f t="shared" si="7"/>
        <v>2</v>
      </c>
      <c r="R52" s="137">
        <f t="shared" si="7"/>
        <v>2</v>
      </c>
      <c r="S52" s="137">
        <f t="shared" si="7"/>
        <v>2</v>
      </c>
      <c r="T52" s="137">
        <f t="shared" si="7"/>
        <v>2</v>
      </c>
      <c r="U52" s="137">
        <f t="shared" si="7"/>
        <v>2</v>
      </c>
      <c r="V52" s="137">
        <f t="shared" si="7"/>
        <v>2</v>
      </c>
    </row>
    <row r="53" spans="5:22" x14ac:dyDescent="0.25"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L36" sqref="L36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54" t="s">
        <v>20</v>
      </c>
      <c r="B3" s="152"/>
      <c r="C3" s="152"/>
      <c r="D3" s="152"/>
      <c r="E3" s="152"/>
      <c r="F3" s="152"/>
      <c r="G3" s="152"/>
    </row>
    <row r="4" spans="1:20" x14ac:dyDescent="0.25">
      <c r="A4" s="154" t="s">
        <v>128</v>
      </c>
      <c r="B4" s="152"/>
      <c r="C4" s="152"/>
      <c r="D4" s="152"/>
      <c r="E4" s="152"/>
      <c r="F4" s="152"/>
      <c r="G4" s="152"/>
    </row>
    <row r="5" spans="1:20" x14ac:dyDescent="0.25">
      <c r="G5" s="7" t="s">
        <v>51</v>
      </c>
      <c r="H5" s="7" t="s">
        <v>52</v>
      </c>
      <c r="I5" s="7" t="s">
        <v>53</v>
      </c>
      <c r="J5" s="7" t="s">
        <v>54</v>
      </c>
      <c r="K5" s="7" t="s">
        <v>55</v>
      </c>
      <c r="L5" s="7" t="s">
        <v>56</v>
      </c>
      <c r="M5" s="7" t="s">
        <v>57</v>
      </c>
      <c r="N5" s="7" t="s">
        <v>58</v>
      </c>
      <c r="O5" s="7" t="s">
        <v>59</v>
      </c>
      <c r="P5" s="7" t="s">
        <v>60</v>
      </c>
      <c r="Q5" s="7" t="s">
        <v>61</v>
      </c>
      <c r="R5" s="7" t="s">
        <v>50</v>
      </c>
      <c r="S5" s="7"/>
      <c r="T5" s="7"/>
    </row>
    <row r="6" spans="1:20" x14ac:dyDescent="0.25">
      <c r="A6" s="3" t="s">
        <v>32</v>
      </c>
    </row>
    <row r="7" spans="1:20" x14ac:dyDescent="0.25">
      <c r="A7" s="1" t="s">
        <v>33</v>
      </c>
      <c r="G7" s="8">
        <f>SUM('Income Statement'!B77)</f>
        <v>-30879</v>
      </c>
      <c r="H7" s="8">
        <f>'Income Statement'!C77</f>
        <v>-45426</v>
      </c>
      <c r="I7" s="8">
        <f>'Income Statement'!D77</f>
        <v>-19961</v>
      </c>
      <c r="J7" s="8">
        <f>'Income Statement'!E77</f>
        <v>65796</v>
      </c>
      <c r="K7" s="8">
        <f>'Income Statement'!F77</f>
        <v>2389</v>
      </c>
      <c r="L7" s="8">
        <f>'Income Statement'!G77</f>
        <v>-16306</v>
      </c>
      <c r="M7" s="8">
        <f>'Income Statement'!H77</f>
        <v>-12349</v>
      </c>
      <c r="N7" s="8">
        <f>'Income Statement'!I77</f>
        <v>10904</v>
      </c>
      <c r="O7" s="8">
        <f>'Income Statement'!J77</f>
        <v>-7561</v>
      </c>
      <c r="P7" s="8">
        <f>'Income Statement'!K77</f>
        <v>3291</v>
      </c>
      <c r="Q7" s="8">
        <f>'Income Statement'!L77</f>
        <v>-20091</v>
      </c>
      <c r="R7" s="8">
        <f>'Income Statement'!M77</f>
        <v>32454</v>
      </c>
      <c r="S7" s="2">
        <f>SUM(G7:R7)</f>
        <v>-37739</v>
      </c>
    </row>
    <row r="8" spans="1:20" x14ac:dyDescent="0.25">
      <c r="A8" s="3" t="s">
        <v>34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 x14ac:dyDescent="0.25">
      <c r="A9" s="5" t="s">
        <v>35</v>
      </c>
      <c r="G9" s="8">
        <f>BS!K31-BS!J31</f>
        <v>0</v>
      </c>
      <c r="H9" s="8">
        <f>BS!L31-BS!K31</f>
        <v>0</v>
      </c>
      <c r="I9" s="8">
        <f>BS!M31-BS!L31</f>
        <v>0</v>
      </c>
      <c r="J9" s="8">
        <f>BS!N31-BS!M31</f>
        <v>0</v>
      </c>
      <c r="K9" s="8">
        <f>BS!O31-BS!N31</f>
        <v>0</v>
      </c>
      <c r="L9" s="8">
        <f>BS!P31-BS!O31</f>
        <v>0</v>
      </c>
      <c r="M9" s="8">
        <f>BS!Q31-BS!P31</f>
        <v>0</v>
      </c>
      <c r="N9" s="8">
        <f>BS!R31-BS!Q31</f>
        <v>0</v>
      </c>
      <c r="O9" s="8">
        <f>BS!S31-BS!R31</f>
        <v>0</v>
      </c>
      <c r="P9" s="8">
        <f>BS!T31-BS!S31</f>
        <v>0</v>
      </c>
      <c r="Q9" s="8">
        <f>BS!U31-BS!T31</f>
        <v>0</v>
      </c>
      <c r="R9" s="8">
        <f>BS!V31-BS!U31</f>
        <v>0</v>
      </c>
      <c r="S9" s="2">
        <f>SUM(G9:R9)</f>
        <v>0</v>
      </c>
    </row>
    <row r="10" spans="1:20" x14ac:dyDescent="0.25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 x14ac:dyDescent="0.25">
      <c r="A11" s="3" t="s">
        <v>36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 x14ac:dyDescent="0.25">
      <c r="A12" s="5" t="s">
        <v>37</v>
      </c>
      <c r="G12" s="8">
        <f>(BS!J22+BS!J23)-(BS!K22+BS!K23)</f>
        <v>12687.439999999995</v>
      </c>
      <c r="H12" s="8">
        <f>(BS!K22+BS!K23)-(BS!L22+BS!L23)</f>
        <v>9769.6000000000131</v>
      </c>
      <c r="I12" s="8">
        <f>(BS!L22+BS!L23)-(BS!M22+BS!M23)</f>
        <v>3019.5</v>
      </c>
      <c r="J12" s="8">
        <f>(BS!M22+BS!M23)-(BS!N22+BS!N23)</f>
        <v>14345</v>
      </c>
      <c r="K12" s="8">
        <f>(BS!N22+BS!N23)-(BS!O22+BS!O23)</f>
        <v>-1720</v>
      </c>
      <c r="L12" s="8">
        <f>(BS!O22+BS!O23)-(BS!P22+BS!P23)</f>
        <v>-23180</v>
      </c>
      <c r="M12" s="8">
        <f>(BS!P22+BS!P23)-(BS!Q22+BS!Q23)</f>
        <v>21675</v>
      </c>
      <c r="N12" s="8">
        <f>(BS!Q22+BS!Q23)-(BS!R22+BS!R23)</f>
        <v>-8700</v>
      </c>
      <c r="O12" s="8">
        <f>(BS!R22+BS!R23)-(BS!S22+BS!S23)</f>
        <v>-20755</v>
      </c>
      <c r="P12" s="8">
        <f>(BS!S22+BS!S23)-(BS!T22+BS!T23)</f>
        <v>9880</v>
      </c>
      <c r="Q12" s="8">
        <f>(BS!T22+BS!T23)-(BS!U22+BS!U23)</f>
        <v>-8670</v>
      </c>
      <c r="R12" s="8">
        <f>(BS!U22+BS!U23)-(BS!V22+BS!V23)</f>
        <v>7594</v>
      </c>
      <c r="S12" s="2">
        <f t="shared" ref="S12:S21" si="0">SUM(G12:R12)</f>
        <v>15945.540000000008</v>
      </c>
    </row>
    <row r="13" spans="1:20" x14ac:dyDescent="0.25">
      <c r="A13" s="5" t="s">
        <v>24</v>
      </c>
      <c r="G13" s="8">
        <f>BS!J24-BS!K24</f>
        <v>10974</v>
      </c>
      <c r="H13" s="8">
        <f>BS!K24-BS!L24</f>
        <v>-1000</v>
      </c>
      <c r="I13" s="8">
        <f>BS!L24-BS!M24</f>
        <v>2000</v>
      </c>
      <c r="J13" s="8">
        <f>BS!M24-BS!N24</f>
        <v>-3000</v>
      </c>
      <c r="K13" s="8">
        <f>BS!N24-BS!O24</f>
        <v>2000</v>
      </c>
      <c r="L13" s="8">
        <f>BS!O24-BS!P24</f>
        <v>-1000</v>
      </c>
      <c r="M13" s="8">
        <f>BS!P24-BS!Q24</f>
        <v>1000</v>
      </c>
      <c r="N13" s="8">
        <f>BS!Q24-BS!R24</f>
        <v>-4000</v>
      </c>
      <c r="O13" s="8">
        <f>BS!R24-BS!S24</f>
        <v>4000</v>
      </c>
      <c r="P13" s="8">
        <f>BS!S24-BS!T24</f>
        <v>-1000</v>
      </c>
      <c r="Q13" s="8">
        <f>BS!T24-BS!U24</f>
        <v>-1000</v>
      </c>
      <c r="R13" s="8">
        <f>BS!U24-BS!V24</f>
        <v>3000</v>
      </c>
      <c r="S13" s="2">
        <f t="shared" si="0"/>
        <v>11974</v>
      </c>
    </row>
    <row r="14" spans="1:20" x14ac:dyDescent="0.25">
      <c r="A14" s="5" t="s">
        <v>3</v>
      </c>
      <c r="G14" s="8">
        <f>BS!J25-BS!K25</f>
        <v>-2004</v>
      </c>
      <c r="H14" s="8">
        <f>BS!K25-BS!L25</f>
        <v>-3000</v>
      </c>
      <c r="I14" s="8">
        <f>BS!L25-BS!M25</f>
        <v>-1000</v>
      </c>
      <c r="J14" s="8">
        <f>BS!M25-BS!N25</f>
        <v>-1000</v>
      </c>
      <c r="K14" s="8">
        <f>BS!N25-BS!O25</f>
        <v>600</v>
      </c>
      <c r="L14" s="8">
        <f>BS!O25-BS!P25</f>
        <v>-4600</v>
      </c>
      <c r="M14" s="8">
        <f>BS!P25-BS!Q25</f>
        <v>600</v>
      </c>
      <c r="N14" s="8">
        <f>BS!Q25-BS!R25</f>
        <v>1000</v>
      </c>
      <c r="O14" s="8">
        <f>BS!R25-BS!S25</f>
        <v>2400</v>
      </c>
      <c r="P14" s="8">
        <f>BS!S25-BS!T25</f>
        <v>4000</v>
      </c>
      <c r="Q14" s="8">
        <f>BS!T25-BS!U25</f>
        <v>2000</v>
      </c>
      <c r="R14" s="8">
        <f>BS!U25-BS!V25</f>
        <v>1000</v>
      </c>
      <c r="S14" s="2">
        <f t="shared" si="0"/>
        <v>-4</v>
      </c>
    </row>
    <row r="15" spans="1:20" x14ac:dyDescent="0.25">
      <c r="A15" s="5" t="s">
        <v>25</v>
      </c>
      <c r="G15" s="8">
        <f>BS!J26-BS!K26</f>
        <v>34857</v>
      </c>
      <c r="H15" s="8">
        <f>BS!K26-BS!L26</f>
        <v>0</v>
      </c>
      <c r="I15" s="8">
        <f>BS!L26-BS!M26</f>
        <v>0</v>
      </c>
      <c r="J15" s="8">
        <f>BS!M26-BS!N26</f>
        <v>0</v>
      </c>
      <c r="K15" s="8">
        <f>BS!N26-BS!O26</f>
        <v>0</v>
      </c>
      <c r="L15" s="8">
        <f>BS!O26-BS!P26</f>
        <v>0</v>
      </c>
      <c r="M15" s="8">
        <f>BS!P26-BS!Q26</f>
        <v>0</v>
      </c>
      <c r="N15" s="8">
        <f>BS!Q26-BS!R26</f>
        <v>0</v>
      </c>
      <c r="O15" s="8">
        <f>BS!R26-BS!S26</f>
        <v>0</v>
      </c>
      <c r="P15" s="8">
        <f>BS!S26-BS!T26</f>
        <v>0</v>
      </c>
      <c r="Q15" s="8">
        <f>BS!T26-BS!U26</f>
        <v>0</v>
      </c>
      <c r="R15" s="8">
        <f>BS!U26-BS!V26</f>
        <v>0</v>
      </c>
      <c r="S15" s="2">
        <f t="shared" si="0"/>
        <v>34857</v>
      </c>
    </row>
    <row r="16" spans="1:20" x14ac:dyDescent="0.25">
      <c r="A16" s="5" t="s">
        <v>26</v>
      </c>
      <c r="G16" s="8">
        <f>BS!J35-BS!K35</f>
        <v>-764</v>
      </c>
      <c r="H16" s="8">
        <f>BS!K35-BS!L35</f>
        <v>-750</v>
      </c>
      <c r="I16" s="8">
        <f>BS!L35-BS!M35</f>
        <v>-750</v>
      </c>
      <c r="J16" s="8">
        <f>BS!M35-BS!N35</f>
        <v>-750</v>
      </c>
      <c r="K16" s="8">
        <f>BS!N35-BS!O35</f>
        <v>-750</v>
      </c>
      <c r="L16" s="8">
        <f>BS!O35-BS!P35</f>
        <v>-750</v>
      </c>
      <c r="M16" s="8">
        <f>BS!P35-BS!Q35</f>
        <v>-750</v>
      </c>
      <c r="N16" s="8">
        <f>BS!Q35-BS!R35</f>
        <v>-750</v>
      </c>
      <c r="O16" s="8">
        <f>BS!R35-BS!S35</f>
        <v>-750</v>
      </c>
      <c r="P16" s="8">
        <f>BS!S35-BS!T35</f>
        <v>-750</v>
      </c>
      <c r="Q16" s="8">
        <f>BS!T35-BS!U35</f>
        <v>-750</v>
      </c>
      <c r="R16" s="8">
        <f>BS!U35-BS!V35</f>
        <v>-750</v>
      </c>
      <c r="S16" s="2">
        <f>SUM(G16:R16)</f>
        <v>-9014</v>
      </c>
    </row>
    <row r="17" spans="1:19" x14ac:dyDescent="0.25">
      <c r="A17" s="5" t="s">
        <v>38</v>
      </c>
      <c r="G17" s="8">
        <f>BS!K40-BS!J40</f>
        <v>16056</v>
      </c>
      <c r="H17" s="8">
        <f>BS!L40-BS!K40</f>
        <v>107317</v>
      </c>
      <c r="I17" s="8">
        <f>BS!M40-BS!L40</f>
        <v>-10505</v>
      </c>
      <c r="J17" s="8">
        <f>BS!N40-BS!M40</f>
        <v>3243</v>
      </c>
      <c r="K17" s="8">
        <f>BS!O40-BS!N40</f>
        <v>-66053</v>
      </c>
      <c r="L17" s="8">
        <f>BS!P40-BS!O40</f>
        <v>-20175</v>
      </c>
      <c r="M17" s="8">
        <f>BS!Q40-BS!P40</f>
        <v>6118</v>
      </c>
      <c r="N17" s="8">
        <f>BS!R40-BS!Q40</f>
        <v>2747</v>
      </c>
      <c r="O17" s="8">
        <f>BS!S40-BS!R40</f>
        <v>14155</v>
      </c>
      <c r="P17" s="8">
        <f>BS!T40-BS!S40</f>
        <v>-31567</v>
      </c>
      <c r="Q17" s="8">
        <f>BS!U40-BS!T40</f>
        <v>88242</v>
      </c>
      <c r="R17" s="8">
        <f>BS!V40-BS!U40</f>
        <v>-16215</v>
      </c>
      <c r="S17" s="2">
        <f t="shared" si="0"/>
        <v>93363</v>
      </c>
    </row>
    <row r="18" spans="1:19" x14ac:dyDescent="0.25">
      <c r="A18" s="5" t="s">
        <v>44</v>
      </c>
      <c r="G18" s="8">
        <f>(BS!K42-BS!J42)+(BS!K43-BS!J43)</f>
        <v>-5362</v>
      </c>
      <c r="H18" s="8">
        <f>(BS!L42-BS!K42)+(BS!L43-BS!K43)</f>
        <v>59000</v>
      </c>
      <c r="I18" s="8">
        <f>(BS!M42-BS!L42)+(BS!M43-BS!L43)</f>
        <v>-2000</v>
      </c>
      <c r="J18" s="8">
        <f>(BS!N42-BS!M42)+(BS!N43-BS!M43)</f>
        <v>-18000</v>
      </c>
      <c r="K18" s="8">
        <f>(BS!O42-BS!N42)+(BS!O43-BS!N43)</f>
        <v>-36000</v>
      </c>
      <c r="L18" s="8">
        <f>(BS!P42-BS!O42)+(BS!P43-BS!O43)</f>
        <v>-4500</v>
      </c>
      <c r="M18" s="8">
        <f>(BS!Q42-BS!P42)+(BS!Q43-BS!P43)</f>
        <v>8500</v>
      </c>
      <c r="N18" s="8">
        <f>(BS!R42-BS!Q42)+(BS!R43-BS!Q43)</f>
        <v>26500</v>
      </c>
      <c r="O18" s="8">
        <f>(BS!S42-BS!R42)+(BS!S43-BS!R43)</f>
        <v>-4500</v>
      </c>
      <c r="P18" s="8">
        <f>(BS!T42-BS!S42)+(BS!T43-BS!S43)</f>
        <v>-22400</v>
      </c>
      <c r="Q18" s="8">
        <f>(BS!U42-BS!T42)+(BS!U43-BS!T43)</f>
        <v>4600</v>
      </c>
      <c r="R18" s="8">
        <f>(BS!V42-BS!U42)+(BS!V43-BS!U43)</f>
        <v>-16100</v>
      </c>
      <c r="S18" s="2">
        <f t="shared" si="0"/>
        <v>-10262</v>
      </c>
    </row>
    <row r="19" spans="1:19" x14ac:dyDescent="0.25">
      <c r="A19" s="5" t="s">
        <v>45</v>
      </c>
      <c r="G19" s="8">
        <f>BS!K41-BS!J41</f>
        <v>-32343</v>
      </c>
      <c r="H19" s="8">
        <f>BS!L41-BS!K41</f>
        <v>-500</v>
      </c>
      <c r="I19" s="8">
        <f>BS!M41-BS!L41</f>
        <v>-100</v>
      </c>
      <c r="J19" s="8">
        <f>BS!N41-BS!M41</f>
        <v>-900</v>
      </c>
      <c r="K19" s="8">
        <f>BS!O41-BS!N41</f>
        <v>-1300</v>
      </c>
      <c r="L19" s="8">
        <f>BS!P41-BS!O41</f>
        <v>-400</v>
      </c>
      <c r="M19" s="8">
        <f>BS!Q41-BS!P41</f>
        <v>200</v>
      </c>
      <c r="N19" s="8">
        <f>BS!R41-BS!Q41</f>
        <v>3850</v>
      </c>
      <c r="O19" s="8">
        <f>BS!S41-BS!R41</f>
        <v>1150</v>
      </c>
      <c r="P19" s="8">
        <f>BS!T41-BS!S41</f>
        <v>11000</v>
      </c>
      <c r="Q19" s="8">
        <f>BS!U41-BS!T41</f>
        <v>7000</v>
      </c>
      <c r="R19" s="8">
        <f>BS!V41-BS!U41</f>
        <v>12000</v>
      </c>
      <c r="S19" s="2">
        <f t="shared" si="0"/>
        <v>-343</v>
      </c>
    </row>
    <row r="20" spans="1:19" x14ac:dyDescent="0.25">
      <c r="A20" s="5" t="s">
        <v>30</v>
      </c>
      <c r="G20" s="8">
        <f>BS!K44-BS!J44</f>
        <v>-1093</v>
      </c>
      <c r="H20" s="8">
        <f>BS!L44-BS!K44</f>
        <v>0</v>
      </c>
      <c r="I20" s="8">
        <f>BS!M44-BS!L44</f>
        <v>0</v>
      </c>
      <c r="J20" s="8">
        <f>BS!N44-BS!M44</f>
        <v>0</v>
      </c>
      <c r="K20" s="8">
        <f>BS!O44-BS!N44</f>
        <v>0</v>
      </c>
      <c r="L20" s="8">
        <f>BS!P44-BS!O44</f>
        <v>0</v>
      </c>
      <c r="M20" s="8">
        <f>BS!Q44-BS!P44</f>
        <v>0</v>
      </c>
      <c r="N20" s="8">
        <f>BS!R44-BS!Q44</f>
        <v>0</v>
      </c>
      <c r="O20" s="8">
        <f>BS!S44-BS!R44</f>
        <v>0</v>
      </c>
      <c r="P20" s="8">
        <f>BS!T44-BS!S44</f>
        <v>0</v>
      </c>
      <c r="Q20" s="8">
        <f>BS!U44-BS!T44</f>
        <v>0</v>
      </c>
      <c r="R20" s="8">
        <f>BS!V44-BS!U44</f>
        <v>0</v>
      </c>
      <c r="S20" s="2">
        <f t="shared" si="0"/>
        <v>-1093</v>
      </c>
    </row>
    <row r="21" spans="1:19" x14ac:dyDescent="0.25">
      <c r="A21" s="3" t="s">
        <v>39</v>
      </c>
      <c r="G21" s="8">
        <f>SUM(G7:G20)</f>
        <v>2129.4399999999951</v>
      </c>
      <c r="H21" s="8">
        <f t="shared" ref="H21:R21" si="1">SUM(H7:H20)</f>
        <v>125410.6</v>
      </c>
      <c r="I21" s="8">
        <f t="shared" si="1"/>
        <v>-29296.5</v>
      </c>
      <c r="J21" s="8">
        <f t="shared" si="1"/>
        <v>59734</v>
      </c>
      <c r="K21" s="8">
        <f t="shared" si="1"/>
        <v>-100834</v>
      </c>
      <c r="L21" s="8">
        <f t="shared" si="1"/>
        <v>-70911</v>
      </c>
      <c r="M21" s="8">
        <f t="shared" si="1"/>
        <v>24994</v>
      </c>
      <c r="N21" s="8">
        <f t="shared" si="1"/>
        <v>31551</v>
      </c>
      <c r="O21" s="8">
        <f t="shared" si="1"/>
        <v>-11861</v>
      </c>
      <c r="P21" s="8">
        <f t="shared" si="1"/>
        <v>-27546</v>
      </c>
      <c r="Q21" s="8">
        <f t="shared" si="1"/>
        <v>71331</v>
      </c>
      <c r="R21" s="8">
        <f t="shared" si="1"/>
        <v>22983</v>
      </c>
      <c r="S21" s="2">
        <f t="shared" si="0"/>
        <v>97684.540000000008</v>
      </c>
    </row>
    <row r="22" spans="1:19" x14ac:dyDescent="0.25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 x14ac:dyDescent="0.25">
      <c r="A23" s="3" t="s">
        <v>40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 x14ac:dyDescent="0.25">
      <c r="A24" s="5" t="s">
        <v>41</v>
      </c>
      <c r="G24" s="8">
        <f>BS!J30-BS!K30</f>
        <v>0</v>
      </c>
      <c r="H24" s="8">
        <f>BS!K30-BS!L30</f>
        <v>0</v>
      </c>
      <c r="I24" s="8">
        <f>BS!L30-BS!M30</f>
        <v>0</v>
      </c>
      <c r="J24" s="8">
        <f>BS!M30-BS!N30</f>
        <v>0</v>
      </c>
      <c r="K24" s="8">
        <f>BS!N30-BS!O30</f>
        <v>0</v>
      </c>
      <c r="L24" s="8">
        <f>BS!O30-BS!P30</f>
        <v>0</v>
      </c>
      <c r="M24" s="8">
        <f>BS!P30-BS!Q30</f>
        <v>0</v>
      </c>
      <c r="N24" s="8">
        <f>BS!Q30-BS!R30</f>
        <v>0</v>
      </c>
      <c r="O24" s="8">
        <f>BS!R30-BS!S30</f>
        <v>0</v>
      </c>
      <c r="P24" s="8">
        <f>BS!S30-BS!T30</f>
        <v>0</v>
      </c>
      <c r="Q24" s="8">
        <f>BS!T30-BS!U30</f>
        <v>0</v>
      </c>
      <c r="R24" s="8">
        <f>BS!U30-BS!V30</f>
        <v>0</v>
      </c>
      <c r="S24" s="2">
        <f>SUM(G24:R24)</f>
        <v>0</v>
      </c>
    </row>
    <row r="25" spans="1:19" x14ac:dyDescent="0.25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 x14ac:dyDescent="0.25">
      <c r="A26" s="3" t="s">
        <v>42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 x14ac:dyDescent="0.25">
      <c r="A27" s="5" t="s">
        <v>46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 x14ac:dyDescent="0.25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 x14ac:dyDescent="0.25">
      <c r="A29" s="3" t="s">
        <v>43</v>
      </c>
      <c r="G29" s="8">
        <f>G21+G24+G27</f>
        <v>2129.4399999999951</v>
      </c>
      <c r="H29" s="8">
        <f t="shared" ref="H29:R29" si="2">H21+H24+H27</f>
        <v>125410.6</v>
      </c>
      <c r="I29" s="8">
        <f t="shared" si="2"/>
        <v>-29296.5</v>
      </c>
      <c r="J29" s="8">
        <f t="shared" si="2"/>
        <v>59734</v>
      </c>
      <c r="K29" s="8">
        <f t="shared" si="2"/>
        <v>-100834</v>
      </c>
      <c r="L29" s="8">
        <f t="shared" si="2"/>
        <v>-70911</v>
      </c>
      <c r="M29" s="8">
        <f t="shared" si="2"/>
        <v>24994</v>
      </c>
      <c r="N29" s="8">
        <f t="shared" si="2"/>
        <v>31551</v>
      </c>
      <c r="O29" s="8">
        <f t="shared" si="2"/>
        <v>-11861</v>
      </c>
      <c r="P29" s="8">
        <f t="shared" si="2"/>
        <v>-27546</v>
      </c>
      <c r="Q29" s="8">
        <f t="shared" si="2"/>
        <v>71331</v>
      </c>
      <c r="R29" s="8">
        <f t="shared" si="2"/>
        <v>22983</v>
      </c>
      <c r="S29" s="2">
        <f>SUM(G29:R29)</f>
        <v>97684.540000000008</v>
      </c>
    </row>
    <row r="30" spans="1:19" x14ac:dyDescent="0.25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 x14ac:dyDescent="0.25">
      <c r="A31" s="3" t="s">
        <v>47</v>
      </c>
      <c r="G31" s="8">
        <f>BS!J21</f>
        <v>470593</v>
      </c>
      <c r="H31" s="8">
        <f>BS!K21</f>
        <v>472722.44</v>
      </c>
      <c r="I31" s="8">
        <f>BS!L21</f>
        <v>598133.04</v>
      </c>
      <c r="J31" s="8">
        <f>BS!M21</f>
        <v>568836.54</v>
      </c>
      <c r="K31" s="8">
        <f>BS!N21</f>
        <v>628570.54</v>
      </c>
      <c r="L31" s="8">
        <f>BS!O21</f>
        <v>527736.54</v>
      </c>
      <c r="M31" s="8">
        <f>BS!P21</f>
        <v>456825.54000000004</v>
      </c>
      <c r="N31" s="8">
        <f>BS!Q21</f>
        <v>481819.54000000004</v>
      </c>
      <c r="O31" s="8">
        <f>BS!R21</f>
        <v>513370.54000000004</v>
      </c>
      <c r="P31" s="8">
        <f>BS!S21</f>
        <v>501509.54000000004</v>
      </c>
      <c r="Q31" s="8">
        <f>BS!T21</f>
        <v>473963.54000000004</v>
      </c>
      <c r="R31" s="8">
        <f>BS!U21</f>
        <v>545294.54</v>
      </c>
    </row>
    <row r="32" spans="1:19" x14ac:dyDescent="0.25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x14ac:dyDescent="0.25">
      <c r="A33" s="3" t="s">
        <v>48</v>
      </c>
      <c r="G33" s="8">
        <f>G29+G31</f>
        <v>472722.44</v>
      </c>
      <c r="H33" s="8">
        <f t="shared" ref="H33:R33" si="3">H29+H31</f>
        <v>598133.04</v>
      </c>
      <c r="I33" s="8">
        <f t="shared" si="3"/>
        <v>568836.54</v>
      </c>
      <c r="J33" s="8">
        <f t="shared" si="3"/>
        <v>628570.54</v>
      </c>
      <c r="K33" s="8">
        <f t="shared" si="3"/>
        <v>527736.54</v>
      </c>
      <c r="L33" s="8">
        <f t="shared" si="3"/>
        <v>456825.54000000004</v>
      </c>
      <c r="M33" s="8">
        <f t="shared" si="3"/>
        <v>481819.54000000004</v>
      </c>
      <c r="N33" s="8">
        <f t="shared" si="3"/>
        <v>513370.54000000004</v>
      </c>
      <c r="O33" s="8">
        <f t="shared" si="3"/>
        <v>501509.54000000004</v>
      </c>
      <c r="P33" s="8">
        <f t="shared" si="3"/>
        <v>473963.54000000004</v>
      </c>
      <c r="Q33" s="8">
        <f t="shared" si="3"/>
        <v>545294.54</v>
      </c>
      <c r="R33" s="8">
        <f t="shared" si="3"/>
        <v>568277.54</v>
      </c>
    </row>
    <row r="34" spans="1:18" x14ac:dyDescent="0.25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x14ac:dyDescent="0.25">
      <c r="A35" s="4" t="s">
        <v>49</v>
      </c>
      <c r="G35" s="8">
        <f>G33-BS!K21</f>
        <v>0</v>
      </c>
      <c r="H35" s="8">
        <f>H33-BS!L21</f>
        <v>0</v>
      </c>
      <c r="I35" s="8">
        <f>I33-BS!M21</f>
        <v>0</v>
      </c>
      <c r="J35" s="8">
        <f>J33-BS!N21</f>
        <v>0</v>
      </c>
      <c r="K35" s="8">
        <f>K33-BS!O21</f>
        <v>0</v>
      </c>
      <c r="L35" s="8">
        <f>L33-BS!P21</f>
        <v>0</v>
      </c>
      <c r="M35" s="8">
        <f>M33-BS!Q21</f>
        <v>0</v>
      </c>
      <c r="N35" s="8">
        <f>N33-BS!R21</f>
        <v>0</v>
      </c>
      <c r="O35" s="8">
        <f>O33-BS!S21</f>
        <v>0</v>
      </c>
      <c r="P35" s="8">
        <f>P33-BS!T21</f>
        <v>0</v>
      </c>
      <c r="Q35" s="8">
        <f>Q33-BS!U21</f>
        <v>0</v>
      </c>
      <c r="R35" s="8">
        <f>R33-BS!V21</f>
        <v>0</v>
      </c>
    </row>
    <row r="36" spans="1:18" x14ac:dyDescent="0.25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x14ac:dyDescent="0.25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30"/>
  <sheetViews>
    <sheetView topLeftCell="A4" workbookViewId="0">
      <selection activeCell="A33" sqref="A33"/>
    </sheetView>
  </sheetViews>
  <sheetFormatPr defaultRowHeight="13.2" x14ac:dyDescent="0.25"/>
  <cols>
    <col min="1" max="1" width="36.5546875" customWidth="1"/>
    <col min="2" max="2" width="18.5546875" style="107" customWidth="1"/>
    <col min="3" max="14" width="15.6640625" style="107" customWidth="1"/>
  </cols>
  <sheetData>
    <row r="1" spans="1:15" s="125" customFormat="1" ht="14.4" x14ac:dyDescent="0.3">
      <c r="B1" s="37" t="s">
        <v>162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5" s="125" customFormat="1" ht="14.4" x14ac:dyDescent="0.3">
      <c r="A2" s="125" t="s">
        <v>102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</row>
    <row r="4" spans="1:15" x14ac:dyDescent="0.25">
      <c r="A4" s="4" t="s">
        <v>137</v>
      </c>
      <c r="B4" s="107">
        <v>23427.5</v>
      </c>
      <c r="G4" s="107">
        <v>0</v>
      </c>
      <c r="H4" s="107">
        <v>0</v>
      </c>
      <c r="I4" s="107">
        <v>0</v>
      </c>
      <c r="J4" s="107">
        <v>0</v>
      </c>
      <c r="K4" s="107">
        <v>0</v>
      </c>
      <c r="L4" s="107">
        <v>0</v>
      </c>
      <c r="M4" s="107">
        <v>0</v>
      </c>
      <c r="N4" s="107">
        <v>0</v>
      </c>
    </row>
    <row r="5" spans="1:15" x14ac:dyDescent="0.25">
      <c r="A5" s="4" t="s">
        <v>163</v>
      </c>
      <c r="B5" s="107">
        <v>0</v>
      </c>
      <c r="C5" s="107">
        <v>0</v>
      </c>
      <c r="D5" s="107">
        <v>1000</v>
      </c>
      <c r="E5" s="107">
        <v>1000</v>
      </c>
      <c r="F5" s="107">
        <v>5000</v>
      </c>
      <c r="G5" s="107">
        <v>5000</v>
      </c>
      <c r="H5" s="107">
        <v>1000</v>
      </c>
      <c r="I5" s="107">
        <v>1000</v>
      </c>
      <c r="J5" s="107">
        <v>1000</v>
      </c>
      <c r="K5" s="107">
        <v>1000</v>
      </c>
      <c r="L5" s="107">
        <v>5000</v>
      </c>
      <c r="M5" s="107">
        <v>5000</v>
      </c>
      <c r="N5" s="107">
        <v>5000</v>
      </c>
    </row>
    <row r="6" spans="1:15" x14ac:dyDescent="0.25">
      <c r="A6" s="4" t="s">
        <v>164</v>
      </c>
      <c r="B6" s="110">
        <v>4752.3999999999996</v>
      </c>
      <c r="C6" s="107">
        <v>3000</v>
      </c>
      <c r="D6" s="107">
        <v>88670</v>
      </c>
      <c r="E6" s="107">
        <v>87670</v>
      </c>
      <c r="F6" s="107">
        <v>85670</v>
      </c>
      <c r="G6" s="107">
        <v>3000</v>
      </c>
      <c r="H6" s="107">
        <v>3000</v>
      </c>
      <c r="I6" s="107">
        <v>5000</v>
      </c>
      <c r="J6" s="107">
        <v>3000</v>
      </c>
      <c r="K6" s="107">
        <v>3000</v>
      </c>
      <c r="L6" s="107">
        <v>3000</v>
      </c>
      <c r="M6" s="107">
        <v>89340</v>
      </c>
      <c r="N6" s="107">
        <v>89340</v>
      </c>
      <c r="O6" s="107"/>
    </row>
    <row r="7" spans="1:15" x14ac:dyDescent="0.25">
      <c r="A7" s="4" t="s">
        <v>138</v>
      </c>
      <c r="B7" s="110">
        <v>16689.599999999999</v>
      </c>
      <c r="I7" s="107">
        <v>1000</v>
      </c>
      <c r="J7" s="107">
        <v>3000</v>
      </c>
      <c r="K7" s="107">
        <v>2000</v>
      </c>
      <c r="L7" s="107">
        <v>4000</v>
      </c>
      <c r="M7" s="107">
        <v>3000</v>
      </c>
    </row>
    <row r="8" spans="1:15" s="126" customFormat="1" x14ac:dyDescent="0.25">
      <c r="A8" s="146" t="s">
        <v>139</v>
      </c>
      <c r="B8" s="110">
        <v>1699.04</v>
      </c>
      <c r="C8" s="107">
        <v>2250</v>
      </c>
      <c r="D8" s="107">
        <v>4170</v>
      </c>
      <c r="E8" s="107">
        <v>6385</v>
      </c>
      <c r="F8" s="107">
        <v>5200</v>
      </c>
      <c r="G8" s="107">
        <v>3920</v>
      </c>
      <c r="H8" s="107">
        <v>2600</v>
      </c>
      <c r="I8" s="107">
        <v>2425</v>
      </c>
      <c r="J8" s="107">
        <v>3125</v>
      </c>
      <c r="K8" s="107">
        <v>2380</v>
      </c>
      <c r="L8" s="107">
        <v>5000</v>
      </c>
      <c r="M8" s="107">
        <v>4670</v>
      </c>
      <c r="N8" s="107">
        <v>4300</v>
      </c>
    </row>
    <row r="9" spans="1:15" s="126" customFormat="1" x14ac:dyDescent="0.25">
      <c r="A9" s="146" t="s">
        <v>142</v>
      </c>
      <c r="B9" s="107">
        <v>3724.51</v>
      </c>
      <c r="C9" s="124"/>
      <c r="D9" s="108"/>
      <c r="E9" s="108">
        <v>19160</v>
      </c>
      <c r="F9" s="108"/>
      <c r="G9" s="108"/>
      <c r="H9" s="108">
        <v>22500</v>
      </c>
      <c r="I9" s="108"/>
      <c r="J9" s="108"/>
      <c r="K9" s="108">
        <v>22500</v>
      </c>
      <c r="L9" s="108">
        <v>0</v>
      </c>
      <c r="M9" s="108"/>
      <c r="N9" s="108">
        <v>22500</v>
      </c>
    </row>
    <row r="10" spans="1:15" s="126" customFormat="1" x14ac:dyDescent="0.25">
      <c r="A10" s="146" t="s">
        <v>143</v>
      </c>
      <c r="B10" s="107">
        <v>4274</v>
      </c>
      <c r="C10" s="124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</row>
    <row r="11" spans="1:15" x14ac:dyDescent="0.25">
      <c r="A11" s="4" t="s">
        <v>140</v>
      </c>
      <c r="C11" s="107">
        <f>SUM('Duck Stamp 2022'!C5+'Duck Stamp 2025'!C5+'R3 2025'!C5+'LYR 2024'!C5+NRCS!C5+'PLE 2024'!C5+NAWCA!C5)</f>
        <v>-13664.49</v>
      </c>
      <c r="D11" s="107">
        <f>SUM('Duck Stamp 2022'!D5+'Duck Stamp 2025'!D5+'R3 2025'!D5+'LYR 2024'!D5+NRCS!D5+'PLE 2024'!D5+NAWCA!D5)</f>
        <v>-104609.60000000001</v>
      </c>
      <c r="E11" s="107">
        <f>SUM('Duck Stamp 2022'!E5+'Duck Stamp 2025'!E5+'R3 2025'!E5+'LYR 2024'!E5+NRCS!E5+'PLE 2024'!E5+NAWCA!E5)</f>
        <v>-115234.5</v>
      </c>
      <c r="F11" s="107">
        <f>SUM('Duck Stamp 2022'!F5+'Duck Stamp 2025'!F5+'R3 2025'!F5+'LYR 2024'!F5+NRCS!F5+'PLE 2024'!F5+NAWCA!F5)</f>
        <v>-113215</v>
      </c>
      <c r="G11" s="107">
        <f>SUM('Duck Stamp 2022'!G5+'Duck Stamp 2025'!G5+'R3 2025'!G5+'LYR 2024'!G5+NRCS!G5+'PLE 2024'!G5+NAWCA!G5)</f>
        <v>-8200</v>
      </c>
      <c r="H11" s="107">
        <f>SUM('Duck Stamp 2022'!H5+'Duck Stamp 2025'!H5+'R3 2025'!H5+'LYR 2024'!H5+NRCS!H5+'PLE 2024'!H5+NAWCA!H5)</f>
        <v>-6920</v>
      </c>
      <c r="I11" s="107">
        <f>SUM('Duck Stamp 2022'!I5+'Duck Stamp 2025'!I5+'R3 2025'!I5+'LYR 2024'!I5+NRCS!I5+'PLE 2024'!I5+NAWCA!I5)</f>
        <v>-30100</v>
      </c>
      <c r="J11" s="107">
        <f>SUM('Duck Stamp 2022'!J5+'Duck Stamp 2025'!J5+'R3 2025'!J5+'LYR 2024'!J5+NRCS!J5+'PLE 2024'!J5+NAWCA!J5)</f>
        <v>-5425</v>
      </c>
      <c r="K11" s="107">
        <f>SUM('Duck Stamp 2022'!K5+'Duck Stamp 2025'!K5+'R3 2025'!K5+'LYR 2024'!K5+NRCS!K5+'PLE 2024'!K5+NAWCA!K5)</f>
        <v>-6125</v>
      </c>
      <c r="L11" s="107">
        <f>SUM('Duck Stamp 2022'!L5+'Duck Stamp 2025'!L5+'R3 2025'!L5+'LYR 2024'!L5+NRCS!L5+'PLE 2024'!L5+NAWCA!L5)</f>
        <v>-27880</v>
      </c>
      <c r="M11" s="107">
        <f>SUM('Duck Stamp 2022'!M5+'Duck Stamp 2025'!M5+'R3 2025'!M5+'LYR 2024'!M5+NRCS!M5+'PLE 2024'!M5+NAWCA!M5)</f>
        <v>-94340</v>
      </c>
      <c r="N11" s="107">
        <f>SUM('Duck Stamp 2022'!N5+'Duck Stamp 2025'!N5+'R3 2025'!N5+'LYR 2024'!N5+NRCS!N5+'PLE 2024'!N5+NAWCA!N5)</f>
        <v>-126734</v>
      </c>
    </row>
    <row r="12" spans="1:15" s="125" customFormat="1" ht="14.4" x14ac:dyDescent="0.3">
      <c r="A12" s="125" t="s">
        <v>103</v>
      </c>
      <c r="B12" s="109">
        <f>SUM(B4:B11)</f>
        <v>54567.05</v>
      </c>
      <c r="C12" s="109">
        <f>SUM(B12+C3+C4+C5+C6+C7+C8+C9+C10+C11)</f>
        <v>46152.560000000005</v>
      </c>
      <c r="D12" s="109">
        <f t="shared" ref="D12:N12" si="0">SUM(C12+D3+D4+D5+D6+D7+D8+D9+D10+D11)</f>
        <v>35382.959999999992</v>
      </c>
      <c r="E12" s="109">
        <f t="shared" si="0"/>
        <v>34363.459999999992</v>
      </c>
      <c r="F12" s="109">
        <f t="shared" si="0"/>
        <v>17018.459999999992</v>
      </c>
      <c r="G12" s="109">
        <f t="shared" si="0"/>
        <v>20738.459999999992</v>
      </c>
      <c r="H12" s="109">
        <f t="shared" si="0"/>
        <v>42918.459999999992</v>
      </c>
      <c r="I12" s="109">
        <f t="shared" si="0"/>
        <v>22243.459999999992</v>
      </c>
      <c r="J12" s="109">
        <f t="shared" si="0"/>
        <v>26943.459999999992</v>
      </c>
      <c r="K12" s="109">
        <f t="shared" si="0"/>
        <v>51698.459999999992</v>
      </c>
      <c r="L12" s="109">
        <f t="shared" si="0"/>
        <v>40818.459999999992</v>
      </c>
      <c r="M12" s="109">
        <f t="shared" si="0"/>
        <v>48488.459999999992</v>
      </c>
      <c r="N12" s="109">
        <f t="shared" si="0"/>
        <v>42894.459999999992</v>
      </c>
    </row>
    <row r="14" spans="1:15" ht="14.4" x14ac:dyDescent="0.3">
      <c r="A14" s="127" t="s">
        <v>104</v>
      </c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4"/>
    </row>
    <row r="15" spans="1:15" x14ac:dyDescent="0.25">
      <c r="A15" s="4" t="s">
        <v>105</v>
      </c>
      <c r="B15" s="110"/>
      <c r="C15" s="110"/>
      <c r="D15" s="110">
        <v>2000</v>
      </c>
      <c r="E15" s="110">
        <v>0</v>
      </c>
      <c r="F15" s="110">
        <v>3000</v>
      </c>
      <c r="G15" s="110">
        <v>1000</v>
      </c>
      <c r="H15" s="110">
        <v>2000</v>
      </c>
      <c r="I15" s="110">
        <v>1000</v>
      </c>
      <c r="J15" s="110">
        <v>5000</v>
      </c>
      <c r="K15" s="110">
        <v>1000</v>
      </c>
      <c r="L15" s="110">
        <v>2000</v>
      </c>
      <c r="M15" s="110">
        <v>3000</v>
      </c>
      <c r="N15" s="110">
        <v>5000</v>
      </c>
      <c r="O15" s="4"/>
    </row>
    <row r="16" spans="1:15" x14ac:dyDescent="0.25">
      <c r="A16" s="4" t="s">
        <v>106</v>
      </c>
      <c r="B16" s="110"/>
      <c r="C16" s="110"/>
      <c r="D16" s="110">
        <v>-1000</v>
      </c>
      <c r="E16" s="110">
        <v>-2000</v>
      </c>
      <c r="F16" s="110">
        <v>0</v>
      </c>
      <c r="G16" s="110">
        <v>-3000</v>
      </c>
      <c r="H16" s="110">
        <v>-1000</v>
      </c>
      <c r="I16" s="110">
        <v>-2000</v>
      </c>
      <c r="J16" s="110">
        <v>-1000</v>
      </c>
      <c r="K16" s="110">
        <v>-5000</v>
      </c>
      <c r="L16" s="110">
        <v>-1000</v>
      </c>
      <c r="M16" s="110">
        <v>-2000</v>
      </c>
      <c r="N16" s="110">
        <v>-7000</v>
      </c>
      <c r="O16" s="4"/>
    </row>
    <row r="17" spans="1:15" ht="14.4" x14ac:dyDescent="0.3">
      <c r="A17" s="127" t="s">
        <v>63</v>
      </c>
      <c r="B17" s="128">
        <v>0</v>
      </c>
      <c r="C17" s="110">
        <f>SUM(B15+C15+C16)</f>
        <v>0</v>
      </c>
      <c r="D17" s="110">
        <f>SUM(C17+D15+D16)</f>
        <v>1000</v>
      </c>
      <c r="E17" s="110">
        <f t="shared" ref="E17:N17" si="1">SUM(D17+E15+E16)</f>
        <v>-1000</v>
      </c>
      <c r="F17" s="110">
        <f t="shared" si="1"/>
        <v>2000</v>
      </c>
      <c r="G17" s="110">
        <f t="shared" si="1"/>
        <v>0</v>
      </c>
      <c r="H17" s="110">
        <f t="shared" si="1"/>
        <v>1000</v>
      </c>
      <c r="I17" s="110">
        <f t="shared" si="1"/>
        <v>0</v>
      </c>
      <c r="J17" s="110">
        <f t="shared" si="1"/>
        <v>4000</v>
      </c>
      <c r="K17" s="110">
        <f t="shared" si="1"/>
        <v>0</v>
      </c>
      <c r="L17" s="110">
        <f t="shared" si="1"/>
        <v>1000</v>
      </c>
      <c r="M17" s="110">
        <f t="shared" si="1"/>
        <v>2000</v>
      </c>
      <c r="N17" s="110">
        <f t="shared" si="1"/>
        <v>0</v>
      </c>
      <c r="O17" s="4"/>
    </row>
    <row r="18" spans="1:15" ht="14.4" x14ac:dyDescent="0.3">
      <c r="A18" s="127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4"/>
    </row>
    <row r="19" spans="1:15" ht="14.4" x14ac:dyDescent="0.3">
      <c r="A19" s="127" t="s">
        <v>24</v>
      </c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</row>
    <row r="20" spans="1:15" x14ac:dyDescent="0.25">
      <c r="A20" s="4"/>
      <c r="B20" s="110">
        <v>25169</v>
      </c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</row>
    <row r="21" spans="1:15" x14ac:dyDescent="0.25">
      <c r="A21" s="4" t="s">
        <v>122</v>
      </c>
      <c r="B21" s="110"/>
      <c r="C21" s="110">
        <v>1000</v>
      </c>
      <c r="D21" s="110">
        <v>2000</v>
      </c>
      <c r="E21" s="110">
        <v>0</v>
      </c>
      <c r="F21" s="110">
        <v>3000</v>
      </c>
      <c r="G21" s="110">
        <v>1000</v>
      </c>
      <c r="H21" s="110">
        <v>2000</v>
      </c>
      <c r="I21" s="110">
        <v>1000</v>
      </c>
      <c r="J21" s="110">
        <v>5000</v>
      </c>
      <c r="K21" s="110">
        <v>1000</v>
      </c>
      <c r="L21" s="110">
        <v>2000</v>
      </c>
      <c r="M21" s="110">
        <v>3000</v>
      </c>
      <c r="N21" s="110">
        <v>5000</v>
      </c>
    </row>
    <row r="22" spans="1:15" x14ac:dyDescent="0.25">
      <c r="A22" s="4" t="s">
        <v>120</v>
      </c>
      <c r="B22" s="110"/>
      <c r="C22" s="110"/>
      <c r="D22" s="110">
        <v>-1000</v>
      </c>
      <c r="E22" s="110">
        <v>-2000</v>
      </c>
      <c r="F22" s="110">
        <v>0</v>
      </c>
      <c r="G22" s="110">
        <v>-3000</v>
      </c>
      <c r="H22" s="110">
        <v>-1000</v>
      </c>
      <c r="I22" s="110">
        <v>-2000</v>
      </c>
      <c r="J22" s="110">
        <v>-1000</v>
      </c>
      <c r="K22" s="110">
        <v>-5000</v>
      </c>
      <c r="L22" s="110">
        <v>-1000</v>
      </c>
      <c r="M22" s="110">
        <v>-2000</v>
      </c>
      <c r="N22" s="110">
        <v>-8000</v>
      </c>
    </row>
    <row r="23" spans="1:15" x14ac:dyDescent="0.25">
      <c r="A23" s="4" t="s">
        <v>62</v>
      </c>
      <c r="B23" s="110"/>
      <c r="C23" s="110">
        <f>SUM(B20+C21+C22)</f>
        <v>26169</v>
      </c>
      <c r="D23" s="110">
        <f>SUM(C23+D21+D22)</f>
        <v>27169</v>
      </c>
      <c r="E23" s="110">
        <f t="shared" ref="E23:N23" si="2">SUM(D23+E21+E22)</f>
        <v>25169</v>
      </c>
      <c r="F23" s="110">
        <f t="shared" si="2"/>
        <v>28169</v>
      </c>
      <c r="G23" s="110">
        <f t="shared" si="2"/>
        <v>26169</v>
      </c>
      <c r="H23" s="110">
        <f t="shared" si="2"/>
        <v>27169</v>
      </c>
      <c r="I23" s="110">
        <f t="shared" si="2"/>
        <v>26169</v>
      </c>
      <c r="J23" s="110">
        <f t="shared" si="2"/>
        <v>30169</v>
      </c>
      <c r="K23" s="110">
        <f t="shared" si="2"/>
        <v>26169</v>
      </c>
      <c r="L23" s="110">
        <f t="shared" si="2"/>
        <v>27169</v>
      </c>
      <c r="M23" s="110">
        <f t="shared" si="2"/>
        <v>28169</v>
      </c>
      <c r="N23" s="110">
        <f t="shared" si="2"/>
        <v>25169</v>
      </c>
    </row>
    <row r="24" spans="1:15" x14ac:dyDescent="0.25">
      <c r="A24" s="4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</row>
    <row r="25" spans="1:15" ht="14.4" x14ac:dyDescent="0.3">
      <c r="A25" s="127" t="s">
        <v>107</v>
      </c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</row>
    <row r="26" spans="1:15" x14ac:dyDescent="0.25">
      <c r="A26" s="4" t="s">
        <v>108</v>
      </c>
      <c r="B26" s="110">
        <v>5899</v>
      </c>
      <c r="C26" s="110">
        <v>5899</v>
      </c>
      <c r="D26" s="110">
        <f>C29</f>
        <v>24338</v>
      </c>
      <c r="E26" s="110">
        <f>D29</f>
        <v>131655</v>
      </c>
      <c r="F26" s="110">
        <f t="shared" ref="F26:N26" si="3">E29</f>
        <v>121150</v>
      </c>
      <c r="G26" s="110">
        <f t="shared" si="3"/>
        <v>124393</v>
      </c>
      <c r="H26" s="110">
        <f t="shared" si="3"/>
        <v>58340</v>
      </c>
      <c r="I26" s="110">
        <f t="shared" si="3"/>
        <v>38165</v>
      </c>
      <c r="J26" s="110">
        <f t="shared" si="3"/>
        <v>44283</v>
      </c>
      <c r="K26" s="110">
        <f t="shared" si="3"/>
        <v>47030</v>
      </c>
      <c r="L26" s="110">
        <f t="shared" si="3"/>
        <v>61185</v>
      </c>
      <c r="M26" s="110">
        <f t="shared" si="3"/>
        <v>29618</v>
      </c>
      <c r="N26" s="110">
        <f t="shared" si="3"/>
        <v>117860</v>
      </c>
    </row>
    <row r="27" spans="1:15" x14ac:dyDescent="0.25">
      <c r="A27" s="4" t="s">
        <v>109</v>
      </c>
      <c r="B27" s="110"/>
      <c r="C27" s="110">
        <f>SUM('Income Statement'!B74)-17690</f>
        <v>33439</v>
      </c>
      <c r="D27" s="110">
        <f>SUM('Income Statement'!C74)-15000</f>
        <v>143446</v>
      </c>
      <c r="E27" s="110">
        <f>SUM('Income Statement'!D74)-15000</f>
        <v>132941</v>
      </c>
      <c r="F27" s="110">
        <f>SUM('Income Statement'!E74)-15000</f>
        <v>136184</v>
      </c>
      <c r="G27" s="110">
        <f>SUM('Income Statement'!F74)-15000</f>
        <v>70131</v>
      </c>
      <c r="H27" s="110">
        <f>SUM('Income Statement'!G74)-15000</f>
        <v>49956</v>
      </c>
      <c r="I27" s="110">
        <f>SUM('Income Statement'!H74)-15000</f>
        <v>56074</v>
      </c>
      <c r="J27" s="110">
        <f>SUM('Income Statement'!I74)-15000</f>
        <v>58821</v>
      </c>
      <c r="K27" s="110">
        <f>SUM('Income Statement'!J74)-15000</f>
        <v>72976</v>
      </c>
      <c r="L27" s="110">
        <f>SUM('Income Statement'!K74)-15000</f>
        <v>41409</v>
      </c>
      <c r="M27" s="110">
        <f>SUM('Income Statement'!L74)-15000</f>
        <v>129651</v>
      </c>
      <c r="N27" s="110">
        <f>SUM('Income Statement'!M74)-15000</f>
        <v>113436</v>
      </c>
    </row>
    <row r="28" spans="1:15" x14ac:dyDescent="0.25">
      <c r="A28" s="4" t="s">
        <v>110</v>
      </c>
      <c r="B28" s="110"/>
      <c r="C28" s="110">
        <v>-15000</v>
      </c>
      <c r="D28" s="110">
        <f>-(SUM('Income Statement'!B74)-15000)</f>
        <v>-36129</v>
      </c>
      <c r="E28" s="110">
        <f>-(SUM('Income Statement'!C74)-15000)</f>
        <v>-143446</v>
      </c>
      <c r="F28" s="110">
        <f>-(SUM('Income Statement'!D74)-15000)</f>
        <v>-132941</v>
      </c>
      <c r="G28" s="110">
        <f>-(SUM('Income Statement'!E74)-15000)</f>
        <v>-136184</v>
      </c>
      <c r="H28" s="110">
        <f>-(SUM('Income Statement'!F74)-15000)</f>
        <v>-70131</v>
      </c>
      <c r="I28" s="110">
        <f>-(SUM('Income Statement'!G74)-15000)</f>
        <v>-49956</v>
      </c>
      <c r="J28" s="110">
        <f>-(SUM('Income Statement'!H74)-15000)</f>
        <v>-56074</v>
      </c>
      <c r="K28" s="110">
        <f>-(SUM('Income Statement'!I74)-15000)</f>
        <v>-58821</v>
      </c>
      <c r="L28" s="110">
        <f>-(SUM('Income Statement'!J74)-15000)</f>
        <v>-72976</v>
      </c>
      <c r="M28" s="110">
        <f>-(SUM('Income Statement'!K74)-15000)</f>
        <v>-41409</v>
      </c>
      <c r="N28" s="110">
        <f>-(SUM('Income Statement'!L74)-15000)</f>
        <v>-129651</v>
      </c>
    </row>
    <row r="29" spans="1:15" s="125" customFormat="1" ht="14.4" x14ac:dyDescent="0.3">
      <c r="A29" s="127" t="s">
        <v>111</v>
      </c>
      <c r="B29" s="129">
        <v>5899</v>
      </c>
      <c r="C29" s="129">
        <f>SUM(C26:C28)</f>
        <v>24338</v>
      </c>
      <c r="D29" s="129">
        <f t="shared" ref="D29:N29" si="4">SUM(D26:D28)</f>
        <v>131655</v>
      </c>
      <c r="E29" s="129">
        <f t="shared" si="4"/>
        <v>121150</v>
      </c>
      <c r="F29" s="129">
        <f t="shared" si="4"/>
        <v>124393</v>
      </c>
      <c r="G29" s="129">
        <f t="shared" si="4"/>
        <v>58340</v>
      </c>
      <c r="H29" s="129">
        <f t="shared" si="4"/>
        <v>38165</v>
      </c>
      <c r="I29" s="129">
        <f t="shared" si="4"/>
        <v>44283</v>
      </c>
      <c r="J29" s="129">
        <f t="shared" si="4"/>
        <v>47030</v>
      </c>
      <c r="K29" s="129">
        <f t="shared" si="4"/>
        <v>61185</v>
      </c>
      <c r="L29" s="129">
        <f t="shared" si="4"/>
        <v>29618</v>
      </c>
      <c r="M29" s="129">
        <f t="shared" si="4"/>
        <v>117860</v>
      </c>
      <c r="N29" s="129">
        <f t="shared" si="4"/>
        <v>101645</v>
      </c>
    </row>
    <row r="30" spans="1:15" x14ac:dyDescent="0.25">
      <c r="A30" s="130"/>
      <c r="B30" s="13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72"/>
  <sheetViews>
    <sheetView tabSelected="1" topLeftCell="A30" zoomScale="70" zoomScaleNormal="70" workbookViewId="0">
      <selection activeCell="T14" sqref="T14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88"/>
    <col min="14" max="14" width="9.109375"/>
    <col min="15" max="15" width="8.6640625" style="88" customWidth="1"/>
    <col min="16" max="16" width="9.109375"/>
  </cols>
  <sheetData>
    <row r="1" spans="1:16" x14ac:dyDescent="0.25">
      <c r="A1" s="42"/>
      <c r="B1" s="43" t="s">
        <v>51</v>
      </c>
      <c r="C1" s="4" t="s">
        <v>123</v>
      </c>
      <c r="D1" s="4" t="s">
        <v>53</v>
      </c>
      <c r="E1" s="4" t="s">
        <v>54</v>
      </c>
      <c r="F1" s="4" t="s">
        <v>55</v>
      </c>
      <c r="G1" s="4" t="s">
        <v>56</v>
      </c>
      <c r="H1" s="4" t="s">
        <v>57</v>
      </c>
      <c r="I1" s="22" t="s">
        <v>58</v>
      </c>
      <c r="J1" s="4" t="s">
        <v>124</v>
      </c>
      <c r="K1" s="4" t="s">
        <v>129</v>
      </c>
      <c r="L1" s="4" t="s">
        <v>125</v>
      </c>
      <c r="M1" s="4" t="s">
        <v>126</v>
      </c>
      <c r="N1" s="88" t="s">
        <v>103</v>
      </c>
      <c r="O1"/>
      <c r="P1" s="88"/>
    </row>
    <row r="2" spans="1:16" x14ac:dyDescent="0.25">
      <c r="A2" s="45" t="s">
        <v>65</v>
      </c>
      <c r="B2" s="50"/>
      <c r="C2" s="23"/>
      <c r="M2"/>
      <c r="N2" s="99"/>
      <c r="O2"/>
    </row>
    <row r="3" spans="1:16" x14ac:dyDescent="0.25">
      <c r="A3" s="49" t="s">
        <v>66</v>
      </c>
      <c r="B3" s="50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99">
        <f t="shared" ref="N3:N66" si="0">SUM(B3:M3)</f>
        <v>0</v>
      </c>
      <c r="O3"/>
    </row>
    <row r="4" spans="1:16" x14ac:dyDescent="0.25">
      <c r="A4" s="49" t="s">
        <v>67</v>
      </c>
      <c r="B4" s="50">
        <v>1400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23"/>
      <c r="N4" s="99">
        <f t="shared" si="0"/>
        <v>1400</v>
      </c>
      <c r="O4"/>
    </row>
    <row r="5" spans="1:16" x14ac:dyDescent="0.25">
      <c r="A5" s="49" t="s">
        <v>68</v>
      </c>
      <c r="B5" s="100">
        <v>1200</v>
      </c>
      <c r="C5" s="101"/>
      <c r="D5" s="101"/>
      <c r="E5" s="101"/>
      <c r="F5" s="101"/>
      <c r="G5" s="101"/>
      <c r="H5" s="101"/>
      <c r="I5" s="101"/>
      <c r="J5" s="101"/>
      <c r="K5" s="101"/>
      <c r="L5" s="111"/>
      <c r="M5" s="23"/>
      <c r="N5" s="99">
        <f t="shared" si="0"/>
        <v>1200</v>
      </c>
      <c r="O5"/>
    </row>
    <row r="6" spans="1:16" x14ac:dyDescent="0.25">
      <c r="A6" s="49" t="s">
        <v>69</v>
      </c>
      <c r="B6" s="50">
        <v>0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23"/>
      <c r="N6" s="99">
        <f t="shared" si="0"/>
        <v>0</v>
      </c>
      <c r="O6"/>
    </row>
    <row r="7" spans="1:16" x14ac:dyDescent="0.25">
      <c r="A7" s="49" t="s">
        <v>147</v>
      </c>
      <c r="B7" s="9">
        <v>7100</v>
      </c>
      <c r="C7" s="34"/>
      <c r="D7" s="34"/>
      <c r="E7" s="38"/>
      <c r="F7" s="38"/>
      <c r="G7" s="38"/>
      <c r="H7" s="38"/>
      <c r="I7" s="38"/>
      <c r="J7" s="38"/>
      <c r="K7" s="38"/>
      <c r="L7" s="38"/>
      <c r="M7" s="23"/>
      <c r="N7" s="99">
        <f t="shared" si="0"/>
        <v>7100</v>
      </c>
      <c r="O7"/>
    </row>
    <row r="8" spans="1:16" x14ac:dyDescent="0.25">
      <c r="A8" s="49" t="s">
        <v>146</v>
      </c>
      <c r="B8" s="9">
        <v>5250</v>
      </c>
      <c r="C8" s="34"/>
      <c r="D8" s="34"/>
      <c r="E8" s="38"/>
      <c r="F8" s="38"/>
      <c r="G8" s="38"/>
      <c r="H8" s="111"/>
      <c r="I8" s="111"/>
      <c r="J8" s="111"/>
      <c r="K8" s="111"/>
      <c r="L8" s="111"/>
      <c r="M8" s="23"/>
      <c r="N8" s="99">
        <f t="shared" si="0"/>
        <v>5250</v>
      </c>
      <c r="O8"/>
    </row>
    <row r="9" spans="1:16" x14ac:dyDescent="0.25">
      <c r="A9" s="49" t="s">
        <v>148</v>
      </c>
      <c r="B9" s="9">
        <v>0</v>
      </c>
      <c r="C9" s="34"/>
      <c r="D9" s="34"/>
      <c r="E9" s="38"/>
      <c r="F9" s="38"/>
      <c r="G9" s="38"/>
      <c r="H9" s="101"/>
      <c r="I9" s="101"/>
      <c r="J9" s="101"/>
      <c r="K9" s="101"/>
      <c r="L9" s="111"/>
      <c r="M9" s="23"/>
      <c r="N9" s="99">
        <f t="shared" si="0"/>
        <v>0</v>
      </c>
      <c r="O9"/>
    </row>
    <row r="10" spans="1:16" x14ac:dyDescent="0.25">
      <c r="A10" s="142" t="s">
        <v>145</v>
      </c>
      <c r="B10" s="116">
        <v>2300</v>
      </c>
      <c r="C10" s="111"/>
      <c r="D10" s="111"/>
      <c r="E10" s="111"/>
      <c r="F10" s="111"/>
      <c r="G10" s="111"/>
      <c r="H10" s="38"/>
      <c r="I10" s="38"/>
      <c r="J10" s="38"/>
      <c r="K10" s="38"/>
      <c r="L10" s="38"/>
      <c r="M10" s="23"/>
      <c r="N10" s="99">
        <f t="shared" si="0"/>
        <v>2300</v>
      </c>
      <c r="O10"/>
    </row>
    <row r="11" spans="1:16" x14ac:dyDescent="0.25">
      <c r="A11" s="49" t="s">
        <v>133</v>
      </c>
      <c r="B11" s="100">
        <v>2000</v>
      </c>
      <c r="C11" s="101"/>
      <c r="D11" s="101"/>
      <c r="E11" s="101"/>
      <c r="F11" s="101"/>
      <c r="G11" s="101"/>
      <c r="H11" s="102"/>
      <c r="I11" s="102"/>
      <c r="J11" s="102"/>
      <c r="K11" s="102"/>
      <c r="L11" s="102"/>
      <c r="M11" s="24"/>
      <c r="N11" s="99">
        <f t="shared" si="0"/>
        <v>2000</v>
      </c>
      <c r="O11"/>
    </row>
    <row r="12" spans="1:16" x14ac:dyDescent="0.25">
      <c r="A12" s="52" t="s">
        <v>70</v>
      </c>
      <c r="B12" s="50">
        <v>1000</v>
      </c>
      <c r="C12" s="38"/>
      <c r="D12" s="38"/>
      <c r="E12" s="38"/>
      <c r="F12" s="38"/>
      <c r="G12" s="38"/>
      <c r="H12" s="25"/>
      <c r="I12" s="25"/>
      <c r="J12" s="25"/>
      <c r="K12" s="25"/>
      <c r="L12" s="25"/>
      <c r="M12" s="25"/>
      <c r="N12" s="99">
        <f t="shared" si="0"/>
        <v>1000</v>
      </c>
      <c r="O12"/>
    </row>
    <row r="13" spans="1:16" x14ac:dyDescent="0.25">
      <c r="A13" s="52"/>
      <c r="B13" s="53"/>
      <c r="C13" s="102"/>
      <c r="D13" s="102"/>
      <c r="E13" s="102"/>
      <c r="F13" s="102"/>
      <c r="G13" s="102"/>
      <c r="H13" s="103"/>
      <c r="I13" s="103"/>
      <c r="J13" s="103"/>
      <c r="K13" s="103"/>
      <c r="L13" s="103"/>
      <c r="M13" s="26"/>
      <c r="N13" s="99">
        <f t="shared" si="0"/>
        <v>0</v>
      </c>
      <c r="O13"/>
    </row>
    <row r="14" spans="1:16" x14ac:dyDescent="0.25">
      <c r="A14" s="55" t="s">
        <v>71</v>
      </c>
      <c r="B14" s="56">
        <f>SUM(B3:B13)</f>
        <v>20250</v>
      </c>
      <c r="C14" s="25"/>
      <c r="D14" s="25"/>
      <c r="E14" s="25"/>
      <c r="F14" s="25"/>
      <c r="G14" s="25"/>
      <c r="H14" s="104"/>
      <c r="I14" s="104"/>
      <c r="J14" s="104"/>
      <c r="K14" s="104"/>
      <c r="L14" s="104"/>
      <c r="M14" s="27"/>
      <c r="N14" s="99">
        <f t="shared" si="0"/>
        <v>20250</v>
      </c>
      <c r="O14"/>
    </row>
    <row r="15" spans="1:16" x14ac:dyDescent="0.25">
      <c r="A15" s="58"/>
      <c r="B15" s="59"/>
      <c r="C15" s="103"/>
      <c r="D15" s="103"/>
      <c r="E15" s="103"/>
      <c r="F15" s="103"/>
      <c r="G15" s="103"/>
      <c r="H15" s="38"/>
      <c r="I15" s="38"/>
      <c r="J15" s="38"/>
      <c r="K15" s="38"/>
      <c r="L15" s="38"/>
      <c r="M15" s="23"/>
      <c r="N15" s="99">
        <f t="shared" si="0"/>
        <v>0</v>
      </c>
      <c r="O15"/>
    </row>
    <row r="16" spans="1:16" x14ac:dyDescent="0.25">
      <c r="A16" s="45" t="s">
        <v>72</v>
      </c>
      <c r="B16" s="61"/>
      <c r="C16" s="104"/>
      <c r="D16" s="104"/>
      <c r="E16" s="104"/>
      <c r="F16" s="104"/>
      <c r="G16" s="104"/>
      <c r="H16" s="38"/>
      <c r="I16" s="38"/>
      <c r="J16" s="38"/>
      <c r="K16" s="38"/>
      <c r="L16" s="38"/>
      <c r="M16" s="23"/>
      <c r="N16" s="99">
        <f t="shared" si="0"/>
        <v>0</v>
      </c>
      <c r="O16"/>
    </row>
    <row r="17" spans="1:15" x14ac:dyDescent="0.25">
      <c r="A17" s="49" t="s">
        <v>73</v>
      </c>
      <c r="B17" s="50">
        <v>0</v>
      </c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23"/>
      <c r="N17" s="99">
        <f t="shared" si="0"/>
        <v>0</v>
      </c>
      <c r="O17"/>
    </row>
    <row r="18" spans="1:15" x14ac:dyDescent="0.25">
      <c r="A18" s="49" t="s">
        <v>74</v>
      </c>
      <c r="B18" s="50">
        <v>0</v>
      </c>
      <c r="C18" s="38"/>
      <c r="D18" s="38"/>
      <c r="E18" s="38"/>
      <c r="F18" s="38"/>
      <c r="G18" s="38"/>
      <c r="H18" s="102"/>
      <c r="I18" s="111"/>
      <c r="J18" s="111"/>
      <c r="K18" s="111"/>
      <c r="L18" s="111"/>
      <c r="M18" s="24"/>
      <c r="N18" s="99">
        <f t="shared" si="0"/>
        <v>0</v>
      </c>
      <c r="O18"/>
    </row>
    <row r="19" spans="1:15" x14ac:dyDescent="0.25">
      <c r="A19" s="49" t="s">
        <v>75</v>
      </c>
      <c r="B19" s="50">
        <v>0</v>
      </c>
      <c r="C19" s="38"/>
      <c r="D19" s="38"/>
      <c r="E19" s="38"/>
      <c r="F19" s="38"/>
      <c r="G19" s="38"/>
      <c r="H19" s="102"/>
      <c r="I19" s="102"/>
      <c r="J19" s="102"/>
      <c r="K19" s="102"/>
      <c r="L19" s="102"/>
      <c r="M19" s="24"/>
      <c r="N19" s="99">
        <f t="shared" si="0"/>
        <v>0</v>
      </c>
      <c r="O19"/>
    </row>
    <row r="20" spans="1:15" x14ac:dyDescent="0.25">
      <c r="A20" s="49"/>
      <c r="B20" s="53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24"/>
      <c r="N20" s="99">
        <f t="shared" si="0"/>
        <v>0</v>
      </c>
      <c r="O20"/>
    </row>
    <row r="21" spans="1:15" x14ac:dyDescent="0.25">
      <c r="A21" s="42"/>
      <c r="B21" s="53"/>
      <c r="C21" s="102"/>
      <c r="D21" s="102"/>
      <c r="E21" s="102"/>
      <c r="F21" s="102"/>
      <c r="G21" s="102"/>
      <c r="H21" s="25"/>
      <c r="I21" s="25"/>
      <c r="J21" s="25"/>
      <c r="K21" s="25"/>
      <c r="L21" s="25"/>
      <c r="M21" s="25"/>
      <c r="N21" s="99">
        <f t="shared" si="0"/>
        <v>0</v>
      </c>
      <c r="O21"/>
    </row>
    <row r="22" spans="1:15" x14ac:dyDescent="0.25">
      <c r="A22" s="42"/>
      <c r="B22" s="53"/>
      <c r="C22" s="102"/>
      <c r="D22" s="102"/>
      <c r="E22" s="102"/>
      <c r="F22" s="102"/>
      <c r="G22" s="102"/>
      <c r="H22" s="105"/>
      <c r="I22" s="105"/>
      <c r="J22" s="105"/>
      <c r="K22" s="105"/>
      <c r="L22" s="105"/>
      <c r="M22" s="28"/>
      <c r="N22" s="99">
        <f t="shared" si="0"/>
        <v>0</v>
      </c>
      <c r="O22"/>
    </row>
    <row r="23" spans="1:15" x14ac:dyDescent="0.25">
      <c r="A23" s="64" t="s">
        <v>76</v>
      </c>
      <c r="B23" s="56">
        <f>SUM(B17:B22)</f>
        <v>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99">
        <f t="shared" si="0"/>
        <v>0</v>
      </c>
      <c r="O23"/>
    </row>
    <row r="24" spans="1:15" x14ac:dyDescent="0.25">
      <c r="A24" s="58"/>
      <c r="B24" s="6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28"/>
      <c r="N24" s="99">
        <f t="shared" si="0"/>
        <v>0</v>
      </c>
      <c r="O24"/>
    </row>
    <row r="25" spans="1:15" x14ac:dyDescent="0.25">
      <c r="A25" s="64" t="s">
        <v>77</v>
      </c>
      <c r="B25" s="56">
        <f>B14-B23</f>
        <v>20250</v>
      </c>
      <c r="C25" s="25"/>
      <c r="D25" s="25"/>
      <c r="E25" s="25"/>
      <c r="F25" s="25"/>
      <c r="G25" s="25"/>
      <c r="H25" s="104"/>
      <c r="I25" s="104"/>
      <c r="J25" s="104"/>
      <c r="K25" s="104"/>
      <c r="L25" s="104"/>
      <c r="M25" s="27"/>
      <c r="N25" s="99">
        <f t="shared" si="0"/>
        <v>20250</v>
      </c>
      <c r="O25"/>
    </row>
    <row r="26" spans="1:15" x14ac:dyDescent="0.25">
      <c r="A26" s="49"/>
      <c r="B26" s="65"/>
      <c r="C26" s="105"/>
      <c r="D26" s="105"/>
      <c r="E26" s="105"/>
      <c r="F26" s="105"/>
      <c r="G26" s="105"/>
      <c r="H26" s="102"/>
      <c r="I26" s="102"/>
      <c r="J26" s="102"/>
      <c r="K26" s="102"/>
      <c r="L26" s="102"/>
      <c r="M26" s="24"/>
      <c r="N26" s="99">
        <f t="shared" si="0"/>
        <v>0</v>
      </c>
      <c r="O26"/>
    </row>
    <row r="27" spans="1:15" x14ac:dyDescent="0.25">
      <c r="A27" s="45" t="s">
        <v>78</v>
      </c>
      <c r="B27" s="61"/>
      <c r="C27" s="104"/>
      <c r="D27" s="104"/>
      <c r="E27" s="104"/>
      <c r="F27" s="104"/>
      <c r="G27" s="104"/>
      <c r="H27" s="38"/>
      <c r="I27" s="38"/>
      <c r="J27" s="38"/>
      <c r="K27" s="38"/>
      <c r="L27" s="38"/>
      <c r="M27" s="23"/>
      <c r="N27" s="99">
        <f t="shared" si="0"/>
        <v>0</v>
      </c>
      <c r="O27"/>
    </row>
    <row r="28" spans="1:15" ht="14.4" x14ac:dyDescent="0.3">
      <c r="A28" s="67" t="s">
        <v>79</v>
      </c>
      <c r="B28" s="53"/>
      <c r="C28" s="102"/>
      <c r="D28" s="102"/>
      <c r="E28" s="102"/>
      <c r="F28" s="102"/>
      <c r="G28" s="102"/>
      <c r="H28" s="38"/>
      <c r="I28" s="38"/>
      <c r="J28" s="38"/>
      <c r="K28" s="38"/>
      <c r="L28" s="38"/>
      <c r="M28" s="23"/>
      <c r="N28" s="99">
        <f t="shared" si="0"/>
        <v>0</v>
      </c>
      <c r="O28"/>
    </row>
    <row r="29" spans="1:15" x14ac:dyDescent="0.25">
      <c r="A29" s="49" t="s">
        <v>80</v>
      </c>
      <c r="B29" s="50">
        <v>5000</v>
      </c>
      <c r="C29" s="38"/>
      <c r="D29" s="38"/>
      <c r="E29" s="38"/>
      <c r="F29" s="38"/>
      <c r="G29" s="38"/>
      <c r="H29" s="101"/>
      <c r="I29" s="101"/>
      <c r="J29" s="101"/>
      <c r="K29" s="101"/>
      <c r="L29" s="111"/>
      <c r="M29" s="23"/>
      <c r="N29" s="99">
        <f t="shared" si="0"/>
        <v>5000</v>
      </c>
      <c r="O29"/>
    </row>
    <row r="30" spans="1:15" x14ac:dyDescent="0.25">
      <c r="A30" s="68" t="s">
        <v>81</v>
      </c>
      <c r="B30" s="50">
        <v>0</v>
      </c>
      <c r="C30" s="38"/>
      <c r="D30" s="38"/>
      <c r="E30" s="38"/>
      <c r="F30" s="38"/>
      <c r="G30" s="38"/>
      <c r="H30" s="101"/>
      <c r="I30" s="101"/>
      <c r="J30" s="101"/>
      <c r="K30" s="101"/>
      <c r="L30" s="111"/>
      <c r="M30" s="23"/>
      <c r="N30" s="99">
        <f t="shared" si="0"/>
        <v>0</v>
      </c>
      <c r="O30"/>
    </row>
    <row r="31" spans="1:15" x14ac:dyDescent="0.25">
      <c r="A31" s="49" t="s">
        <v>82</v>
      </c>
      <c r="B31" s="100">
        <v>260</v>
      </c>
      <c r="C31" s="101"/>
      <c r="D31" s="101"/>
      <c r="E31" s="101"/>
      <c r="F31" s="101"/>
      <c r="G31" s="101"/>
      <c r="H31" s="101"/>
      <c r="I31" s="101"/>
      <c r="J31" s="101"/>
      <c r="K31" s="101"/>
      <c r="L31" s="111"/>
      <c r="M31" s="23"/>
      <c r="N31" s="99">
        <f t="shared" si="0"/>
        <v>260</v>
      </c>
      <c r="O31"/>
    </row>
    <row r="32" spans="1:15" x14ac:dyDescent="0.25">
      <c r="A32" s="49" t="s">
        <v>83</v>
      </c>
      <c r="B32" s="100">
        <v>130</v>
      </c>
      <c r="C32" s="101"/>
      <c r="D32" s="101"/>
      <c r="E32" s="101"/>
      <c r="F32" s="101"/>
      <c r="G32" s="101"/>
      <c r="H32" s="38"/>
      <c r="I32" s="38"/>
      <c r="J32" s="38"/>
      <c r="K32" s="38"/>
      <c r="L32" s="38"/>
      <c r="M32" s="23"/>
      <c r="N32" s="99">
        <f t="shared" si="0"/>
        <v>130</v>
      </c>
      <c r="O32"/>
    </row>
    <row r="33" spans="1:15" x14ac:dyDescent="0.25">
      <c r="A33" s="52" t="s">
        <v>84</v>
      </c>
      <c r="B33" s="116">
        <v>3700</v>
      </c>
      <c r="C33" s="101"/>
      <c r="D33" s="101"/>
      <c r="E33" s="101"/>
      <c r="F33" s="101"/>
      <c r="G33" s="101"/>
      <c r="H33" s="38"/>
      <c r="I33" s="38"/>
      <c r="J33" s="38"/>
      <c r="K33" s="38"/>
      <c r="L33" s="38"/>
      <c r="M33" s="23"/>
      <c r="N33" s="99">
        <f t="shared" si="0"/>
        <v>3700</v>
      </c>
      <c r="O33"/>
    </row>
    <row r="34" spans="1:15" x14ac:dyDescent="0.25">
      <c r="A34" s="69" t="s">
        <v>85</v>
      </c>
      <c r="B34" s="50">
        <v>25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23"/>
      <c r="N34" s="99">
        <f t="shared" si="0"/>
        <v>25</v>
      </c>
      <c r="O34"/>
    </row>
    <row r="35" spans="1:15" x14ac:dyDescent="0.25">
      <c r="A35" s="49" t="s">
        <v>86</v>
      </c>
      <c r="B35" s="50">
        <v>0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23"/>
      <c r="N35" s="99">
        <f t="shared" si="0"/>
        <v>0</v>
      </c>
      <c r="O35"/>
    </row>
    <row r="36" spans="1:15" x14ac:dyDescent="0.25">
      <c r="A36" s="49" t="s">
        <v>87</v>
      </c>
      <c r="B36" s="50">
        <v>0</v>
      </c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23"/>
      <c r="N36" s="99">
        <f t="shared" si="0"/>
        <v>0</v>
      </c>
      <c r="O36"/>
    </row>
    <row r="37" spans="1:15" x14ac:dyDescent="0.25">
      <c r="A37" s="49" t="s">
        <v>88</v>
      </c>
      <c r="B37" s="50">
        <v>0</v>
      </c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23"/>
      <c r="N37" s="99">
        <f t="shared" si="0"/>
        <v>0</v>
      </c>
      <c r="O37"/>
    </row>
    <row r="38" spans="1:15" x14ac:dyDescent="0.25">
      <c r="A38" s="49" t="s">
        <v>89</v>
      </c>
      <c r="B38" s="50">
        <v>0</v>
      </c>
      <c r="C38" s="38"/>
      <c r="D38" s="38"/>
      <c r="E38" s="38"/>
      <c r="F38" s="38"/>
      <c r="G38" s="38"/>
      <c r="H38" s="29"/>
      <c r="I38" s="29"/>
      <c r="J38" s="29"/>
      <c r="K38" s="29"/>
      <c r="L38" s="29"/>
      <c r="M38" s="23"/>
      <c r="N38" s="99">
        <f t="shared" si="0"/>
        <v>0</v>
      </c>
      <c r="O38"/>
    </row>
    <row r="39" spans="1:15" x14ac:dyDescent="0.25">
      <c r="A39" s="49" t="s">
        <v>90</v>
      </c>
      <c r="B39" s="50">
        <v>426</v>
      </c>
      <c r="C39" s="38"/>
      <c r="D39" s="38"/>
      <c r="E39" s="38"/>
      <c r="F39" s="38"/>
      <c r="G39" s="38"/>
      <c r="H39" s="25"/>
      <c r="I39" s="25"/>
      <c r="J39" s="25"/>
      <c r="K39" s="25"/>
      <c r="L39" s="25"/>
      <c r="M39" s="25"/>
      <c r="N39" s="99">
        <f t="shared" si="0"/>
        <v>426</v>
      </c>
      <c r="O39"/>
    </row>
    <row r="40" spans="1:15" x14ac:dyDescent="0.25">
      <c r="A40" s="49" t="s">
        <v>70</v>
      </c>
      <c r="B40" s="70">
        <v>0</v>
      </c>
      <c r="C40" s="29"/>
      <c r="D40" s="29"/>
      <c r="E40" s="29"/>
      <c r="F40" s="29"/>
      <c r="G40" s="29"/>
      <c r="H40" s="102"/>
      <c r="I40" s="102"/>
      <c r="J40" s="102"/>
      <c r="K40" s="102"/>
      <c r="L40" s="102"/>
      <c r="M40" s="24"/>
      <c r="N40" s="99">
        <f t="shared" si="0"/>
        <v>0</v>
      </c>
      <c r="O40"/>
    </row>
    <row r="41" spans="1:15" ht="14.4" x14ac:dyDescent="0.3">
      <c r="A41" s="72" t="s">
        <v>91</v>
      </c>
      <c r="B41" s="56">
        <f>SUM(B29:B40)</f>
        <v>9541</v>
      </c>
      <c r="C41" s="25"/>
      <c r="D41" s="25"/>
      <c r="E41" s="25"/>
      <c r="F41" s="25"/>
      <c r="G41" s="25"/>
      <c r="H41" s="102"/>
      <c r="I41" s="102"/>
      <c r="J41" s="102"/>
      <c r="K41" s="102"/>
      <c r="L41" s="102"/>
      <c r="M41" s="24"/>
      <c r="N41" s="99">
        <f t="shared" si="0"/>
        <v>9541</v>
      </c>
      <c r="O41"/>
    </row>
    <row r="42" spans="1:15" ht="14.4" x14ac:dyDescent="0.3">
      <c r="A42" s="72"/>
      <c r="B42" s="53"/>
      <c r="C42" s="102"/>
      <c r="D42" s="102"/>
      <c r="E42" s="102"/>
      <c r="F42" s="102"/>
      <c r="G42" s="102"/>
      <c r="H42" s="38"/>
      <c r="I42" s="38"/>
      <c r="J42" s="38"/>
      <c r="K42" s="38"/>
      <c r="L42" s="38"/>
      <c r="M42" s="23"/>
      <c r="N42" s="99">
        <f t="shared" si="0"/>
        <v>0</v>
      </c>
      <c r="O42"/>
    </row>
    <row r="43" spans="1:15" ht="14.4" x14ac:dyDescent="0.3">
      <c r="A43" s="67" t="s">
        <v>121</v>
      </c>
      <c r="B43" s="53"/>
      <c r="C43" s="102"/>
      <c r="D43" s="102"/>
      <c r="E43" s="102"/>
      <c r="F43" s="102"/>
      <c r="G43" s="102"/>
      <c r="H43" s="101"/>
      <c r="I43" s="101"/>
      <c r="J43" s="101"/>
      <c r="K43" s="101"/>
      <c r="L43" s="111"/>
      <c r="M43" s="23"/>
      <c r="N43" s="99">
        <f t="shared" si="0"/>
        <v>0</v>
      </c>
      <c r="O43"/>
    </row>
    <row r="44" spans="1:15" x14ac:dyDescent="0.25">
      <c r="A44" s="142" t="s">
        <v>80</v>
      </c>
      <c r="B44" s="50">
        <v>8600</v>
      </c>
      <c r="C44" s="38"/>
      <c r="D44" s="38"/>
      <c r="E44" s="38"/>
      <c r="F44" s="38"/>
      <c r="G44" s="38"/>
      <c r="H44" s="101"/>
      <c r="I44" s="101"/>
      <c r="J44" s="101"/>
      <c r="K44" s="101"/>
      <c r="L44" s="111"/>
      <c r="M44" s="23"/>
      <c r="N44" s="99">
        <f t="shared" si="0"/>
        <v>8600</v>
      </c>
      <c r="O44"/>
    </row>
    <row r="45" spans="1:15" x14ac:dyDescent="0.25">
      <c r="A45" s="49" t="s">
        <v>82</v>
      </c>
      <c r="B45" s="100">
        <v>150</v>
      </c>
      <c r="C45" s="101"/>
      <c r="D45" s="101"/>
      <c r="E45" s="101"/>
      <c r="F45" s="101"/>
      <c r="G45" s="101"/>
      <c r="H45" s="38"/>
      <c r="I45" s="38"/>
      <c r="J45" s="38"/>
      <c r="K45" s="38"/>
      <c r="L45" s="38"/>
      <c r="M45" s="23"/>
      <c r="N45" s="99">
        <f t="shared" si="0"/>
        <v>150</v>
      </c>
      <c r="O45"/>
    </row>
    <row r="46" spans="1:15" x14ac:dyDescent="0.25">
      <c r="A46" s="49" t="s">
        <v>70</v>
      </c>
      <c r="B46" s="100">
        <v>1200</v>
      </c>
      <c r="C46" s="101"/>
      <c r="D46" s="101"/>
      <c r="E46" s="101"/>
      <c r="F46" s="101"/>
      <c r="G46" s="101"/>
      <c r="H46" s="111"/>
      <c r="I46" s="111"/>
      <c r="J46" s="111"/>
      <c r="K46" s="111"/>
      <c r="L46" s="111"/>
      <c r="M46" s="23"/>
      <c r="N46" s="99">
        <f t="shared" si="0"/>
        <v>1200</v>
      </c>
      <c r="O46"/>
    </row>
    <row r="47" spans="1:15" x14ac:dyDescent="0.25">
      <c r="A47" s="49" t="s">
        <v>149</v>
      </c>
      <c r="B47" s="9">
        <v>11830</v>
      </c>
      <c r="C47" s="34"/>
      <c r="D47" s="34"/>
      <c r="E47" s="38"/>
      <c r="F47" s="38"/>
      <c r="G47" s="38"/>
      <c r="H47" s="101"/>
      <c r="I47" s="101"/>
      <c r="J47" s="101"/>
      <c r="K47" s="101"/>
      <c r="L47" s="111"/>
      <c r="M47" s="23"/>
      <c r="N47" s="99">
        <f t="shared" si="0"/>
        <v>11830</v>
      </c>
      <c r="O47"/>
    </row>
    <row r="48" spans="1:15" x14ac:dyDescent="0.25">
      <c r="A48" s="49" t="s">
        <v>150</v>
      </c>
      <c r="B48" s="9">
        <v>6140</v>
      </c>
      <c r="C48" s="34"/>
      <c r="D48" s="34"/>
      <c r="E48" s="38"/>
      <c r="F48" s="38"/>
      <c r="G48" s="38"/>
      <c r="H48" s="106"/>
      <c r="I48" s="106"/>
      <c r="J48" s="106"/>
      <c r="K48" s="106"/>
      <c r="L48" s="115"/>
      <c r="M48" s="23"/>
      <c r="N48" s="99">
        <f t="shared" si="0"/>
        <v>6140</v>
      </c>
      <c r="O48"/>
    </row>
    <row r="49" spans="1:15" x14ac:dyDescent="0.25">
      <c r="A49" s="49" t="s">
        <v>152</v>
      </c>
      <c r="B49" s="9">
        <v>125</v>
      </c>
      <c r="C49" s="34"/>
      <c r="D49" s="34"/>
      <c r="E49" s="38"/>
      <c r="F49" s="38"/>
      <c r="G49" s="38"/>
      <c r="H49" s="25"/>
      <c r="I49" s="25"/>
      <c r="J49" s="25"/>
      <c r="K49" s="25"/>
      <c r="L49" s="25"/>
      <c r="M49" s="25"/>
      <c r="N49" s="99">
        <f t="shared" si="0"/>
        <v>125</v>
      </c>
      <c r="O49"/>
    </row>
    <row r="50" spans="1:15" x14ac:dyDescent="0.25">
      <c r="A50" s="142" t="s">
        <v>151</v>
      </c>
      <c r="B50" s="116">
        <v>2300</v>
      </c>
      <c r="C50" s="111"/>
      <c r="D50" s="111"/>
      <c r="E50" s="111"/>
      <c r="F50" s="111"/>
      <c r="G50" s="111"/>
      <c r="H50" s="38"/>
      <c r="I50" s="38"/>
      <c r="J50" s="38"/>
      <c r="K50" s="38"/>
      <c r="L50" s="38"/>
      <c r="M50" s="23"/>
      <c r="N50" s="99">
        <f t="shared" si="0"/>
        <v>2300</v>
      </c>
      <c r="O50"/>
    </row>
    <row r="51" spans="1:15" x14ac:dyDescent="0.25">
      <c r="A51" s="49" t="s">
        <v>132</v>
      </c>
      <c r="B51" s="100">
        <v>3800</v>
      </c>
      <c r="C51" s="101"/>
      <c r="D51" s="101"/>
      <c r="E51" s="101"/>
      <c r="F51" s="101"/>
      <c r="G51" s="101"/>
      <c r="H51" s="38"/>
      <c r="I51" s="38"/>
      <c r="J51" s="38"/>
      <c r="K51" s="38"/>
      <c r="L51" s="38"/>
      <c r="M51" s="23"/>
      <c r="N51" s="99">
        <f t="shared" si="0"/>
        <v>3800</v>
      </c>
      <c r="O51"/>
    </row>
    <row r="52" spans="1:15" x14ac:dyDescent="0.25">
      <c r="A52" s="49" t="s">
        <v>118</v>
      </c>
      <c r="B52" s="141">
        <v>5900</v>
      </c>
      <c r="C52" s="115"/>
      <c r="D52" s="115"/>
      <c r="E52" s="115"/>
      <c r="F52" s="115"/>
      <c r="G52" s="115"/>
      <c r="H52" s="38"/>
      <c r="I52" s="38"/>
      <c r="J52" s="38"/>
      <c r="K52" s="38"/>
      <c r="L52" s="38"/>
      <c r="M52" s="23"/>
      <c r="N52" s="99">
        <f t="shared" si="0"/>
        <v>5900</v>
      </c>
      <c r="O52"/>
    </row>
    <row r="53" spans="1:15" ht="14.4" x14ac:dyDescent="0.3">
      <c r="A53" s="75" t="s">
        <v>62</v>
      </c>
      <c r="B53" s="56">
        <f>SUM(B44:B52)</f>
        <v>40045</v>
      </c>
      <c r="C53" s="25"/>
      <c r="D53" s="25"/>
      <c r="E53" s="25"/>
      <c r="F53" s="25"/>
      <c r="G53" s="25"/>
      <c r="H53" s="38"/>
      <c r="I53" s="38"/>
      <c r="J53" s="38"/>
      <c r="K53" s="38"/>
      <c r="L53" s="38"/>
      <c r="M53" s="23"/>
      <c r="N53" s="99">
        <f t="shared" si="0"/>
        <v>40045</v>
      </c>
      <c r="O53"/>
    </row>
    <row r="54" spans="1:15" x14ac:dyDescent="0.25">
      <c r="A54" s="49"/>
      <c r="B54" s="50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23"/>
      <c r="N54" s="99">
        <f t="shared" si="0"/>
        <v>0</v>
      </c>
      <c r="O54"/>
    </row>
    <row r="55" spans="1:15" ht="14.4" x14ac:dyDescent="0.3">
      <c r="A55" s="76" t="s">
        <v>92</v>
      </c>
      <c r="B55" s="50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23"/>
      <c r="N55" s="99">
        <f t="shared" si="0"/>
        <v>0</v>
      </c>
      <c r="O55"/>
    </row>
    <row r="56" spans="1:15" x14ac:dyDescent="0.25">
      <c r="A56" s="49" t="s">
        <v>80</v>
      </c>
      <c r="B56" s="50">
        <v>1650</v>
      </c>
      <c r="C56" s="38"/>
      <c r="D56" s="38"/>
      <c r="E56" s="38"/>
      <c r="F56" s="38"/>
      <c r="G56" s="38"/>
      <c r="H56" s="101"/>
      <c r="I56" s="101"/>
      <c r="J56" s="101"/>
      <c r="K56" s="101"/>
      <c r="L56" s="111"/>
      <c r="M56" s="23"/>
      <c r="N56" s="99">
        <f t="shared" si="0"/>
        <v>1650</v>
      </c>
      <c r="O56"/>
    </row>
    <row r="57" spans="1:15" x14ac:dyDescent="0.25">
      <c r="A57" s="49" t="s">
        <v>81</v>
      </c>
      <c r="B57" s="50">
        <v>0</v>
      </c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23"/>
      <c r="N57" s="99">
        <f t="shared" si="0"/>
        <v>0</v>
      </c>
      <c r="O57"/>
    </row>
    <row r="58" spans="1:15" x14ac:dyDescent="0.25">
      <c r="A58" s="49" t="s">
        <v>82</v>
      </c>
      <c r="B58" s="50">
        <v>0</v>
      </c>
      <c r="C58" s="38"/>
      <c r="D58" s="38"/>
      <c r="E58" s="38"/>
      <c r="F58" s="38"/>
      <c r="G58" s="38"/>
      <c r="H58" s="101"/>
      <c r="I58" s="101"/>
      <c r="J58" s="101"/>
      <c r="K58" s="101"/>
      <c r="L58" s="111"/>
      <c r="M58" s="23"/>
      <c r="N58" s="99">
        <f t="shared" si="0"/>
        <v>0</v>
      </c>
      <c r="O58"/>
    </row>
    <row r="59" spans="1:15" x14ac:dyDescent="0.25">
      <c r="A59" s="49" t="s">
        <v>83</v>
      </c>
      <c r="B59" s="50">
        <v>0</v>
      </c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23"/>
      <c r="N59" s="99">
        <f t="shared" si="0"/>
        <v>0</v>
      </c>
      <c r="O59"/>
    </row>
    <row r="60" spans="1:15" x14ac:dyDescent="0.25">
      <c r="A60" s="49" t="s">
        <v>90</v>
      </c>
      <c r="B60" s="100">
        <v>18</v>
      </c>
      <c r="C60" s="101"/>
      <c r="D60" s="101"/>
      <c r="E60" s="101"/>
      <c r="F60" s="101"/>
      <c r="G60" s="101"/>
      <c r="H60" s="38"/>
      <c r="I60" s="38"/>
      <c r="J60" s="38"/>
      <c r="K60" s="38"/>
      <c r="L60" s="38"/>
      <c r="M60" s="23"/>
      <c r="N60" s="99">
        <f t="shared" si="0"/>
        <v>18</v>
      </c>
      <c r="O60"/>
    </row>
    <row r="61" spans="1:15" x14ac:dyDescent="0.25">
      <c r="A61" s="49" t="s">
        <v>93</v>
      </c>
      <c r="B61" s="50">
        <v>600</v>
      </c>
      <c r="C61" s="38"/>
      <c r="D61" s="38"/>
      <c r="E61" s="38"/>
      <c r="F61" s="38"/>
      <c r="G61" s="38"/>
      <c r="H61" s="29"/>
      <c r="I61" s="29"/>
      <c r="J61" s="29"/>
      <c r="K61" s="29"/>
      <c r="L61" s="29"/>
      <c r="M61" s="29"/>
      <c r="N61" s="99">
        <f t="shared" si="0"/>
        <v>600</v>
      </c>
      <c r="O61"/>
    </row>
    <row r="62" spans="1:15" x14ac:dyDescent="0.25">
      <c r="A62" s="49" t="s">
        <v>94</v>
      </c>
      <c r="B62" s="100">
        <v>0</v>
      </c>
      <c r="C62" s="101"/>
      <c r="D62" s="101"/>
      <c r="E62" s="101"/>
      <c r="F62" s="101"/>
      <c r="G62" s="101"/>
      <c r="H62" s="30"/>
      <c r="I62" s="30"/>
      <c r="J62" s="30"/>
      <c r="K62" s="30"/>
      <c r="L62" s="30"/>
      <c r="M62" s="30"/>
      <c r="N62" s="99">
        <f t="shared" si="0"/>
        <v>0</v>
      </c>
      <c r="O62"/>
    </row>
    <row r="63" spans="1:15" x14ac:dyDescent="0.25">
      <c r="A63" s="49" t="s">
        <v>95</v>
      </c>
      <c r="B63" s="50">
        <v>0</v>
      </c>
      <c r="C63" s="38"/>
      <c r="D63" s="38"/>
      <c r="E63" s="38"/>
      <c r="F63" s="38"/>
      <c r="G63" s="38"/>
      <c r="H63" s="23"/>
      <c r="I63" s="23"/>
      <c r="J63" s="23"/>
      <c r="K63" s="23"/>
      <c r="L63" s="23"/>
      <c r="M63" s="23"/>
      <c r="N63" s="99">
        <f t="shared" si="0"/>
        <v>0</v>
      </c>
      <c r="O63"/>
    </row>
    <row r="64" spans="1:15" x14ac:dyDescent="0.25">
      <c r="A64" s="49" t="s">
        <v>96</v>
      </c>
      <c r="B64" s="50">
        <v>0</v>
      </c>
      <c r="C64" s="38"/>
      <c r="D64" s="38"/>
      <c r="E64" s="38"/>
      <c r="F64" s="38"/>
      <c r="G64" s="38"/>
      <c r="H64" s="31"/>
      <c r="I64" s="31"/>
      <c r="J64" s="31"/>
      <c r="K64" s="31"/>
      <c r="L64" s="31"/>
      <c r="M64" s="31"/>
      <c r="N64" s="99">
        <f t="shared" si="0"/>
        <v>0</v>
      </c>
      <c r="O64"/>
    </row>
    <row r="65" spans="1:15" x14ac:dyDescent="0.25">
      <c r="A65" s="49" t="s">
        <v>70</v>
      </c>
      <c r="B65" s="70">
        <v>-725</v>
      </c>
      <c r="C65" s="29"/>
      <c r="D65" s="29"/>
      <c r="E65" s="29"/>
      <c r="F65" s="29"/>
      <c r="G65" s="29"/>
      <c r="H65" s="28"/>
      <c r="I65" s="28"/>
      <c r="J65" s="28"/>
      <c r="K65" s="28"/>
      <c r="L65" s="28"/>
      <c r="M65" s="28"/>
      <c r="N65" s="99">
        <f t="shared" si="0"/>
        <v>-725</v>
      </c>
      <c r="O65"/>
    </row>
    <row r="66" spans="1:15" ht="14.4" x14ac:dyDescent="0.3">
      <c r="A66" s="77" t="s">
        <v>62</v>
      </c>
      <c r="B66" s="78">
        <f>SUM(B56:B65)</f>
        <v>1543</v>
      </c>
      <c r="C66" s="30"/>
      <c r="D66" s="30"/>
      <c r="E66" s="30"/>
      <c r="F66" s="30"/>
      <c r="G66" s="30"/>
      <c r="H66" s="32"/>
      <c r="I66" s="32"/>
      <c r="J66" s="32"/>
      <c r="K66" s="32"/>
      <c r="L66" s="32"/>
      <c r="M66" s="32"/>
      <c r="N66" s="99">
        <f t="shared" si="0"/>
        <v>1543</v>
      </c>
    </row>
    <row r="67" spans="1:15" ht="13.8" thickBot="1" x14ac:dyDescent="0.3">
      <c r="A67" s="69"/>
      <c r="B67" s="50"/>
      <c r="C67" s="23"/>
      <c r="D67" s="23"/>
      <c r="E67" s="23"/>
      <c r="F67" s="23"/>
      <c r="G67" s="23"/>
      <c r="H67" s="33"/>
      <c r="I67" s="33">
        <f t="shared" ref="I67:L67" si="1">I23-I64</f>
        <v>0</v>
      </c>
      <c r="J67" s="33">
        <f t="shared" si="1"/>
        <v>0</v>
      </c>
      <c r="K67" s="33">
        <f t="shared" si="1"/>
        <v>0</v>
      </c>
      <c r="L67" s="33">
        <f t="shared" si="1"/>
        <v>0</v>
      </c>
      <c r="M67" s="33"/>
      <c r="N67" s="99">
        <f t="shared" ref="N67" si="2">SUM(B67:M67)</f>
        <v>0</v>
      </c>
    </row>
    <row r="68" spans="1:15" ht="13.8" thickTop="1" x14ac:dyDescent="0.25">
      <c r="A68" s="79" t="s">
        <v>97</v>
      </c>
      <c r="B68" s="80">
        <f t="shared" ref="B68" si="3">B66+B53+B41</f>
        <v>51129</v>
      </c>
      <c r="C68" s="80"/>
      <c r="D68" s="31"/>
      <c r="E68" s="31"/>
      <c r="F68" s="31"/>
      <c r="G68" s="31"/>
      <c r="H68" s="80"/>
      <c r="I68" s="80">
        <f t="shared" ref="I68:N68" si="4">I66+I53+I41</f>
        <v>0</v>
      </c>
      <c r="J68" s="80">
        <f t="shared" si="4"/>
        <v>0</v>
      </c>
      <c r="K68" s="80">
        <f t="shared" si="4"/>
        <v>0</v>
      </c>
      <c r="L68" s="80">
        <f t="shared" si="4"/>
        <v>0</v>
      </c>
      <c r="M68" s="80">
        <f t="shared" si="4"/>
        <v>0</v>
      </c>
      <c r="N68" s="80">
        <f t="shared" si="4"/>
        <v>51129</v>
      </c>
      <c r="O68"/>
    </row>
    <row r="69" spans="1:15" x14ac:dyDescent="0.25">
      <c r="A69" s="69"/>
      <c r="B69" s="65"/>
      <c r="C69" s="28"/>
      <c r="D69" s="28"/>
      <c r="E69" s="28"/>
      <c r="F69" s="28"/>
      <c r="G69" s="28"/>
      <c r="N69" s="88"/>
      <c r="O69"/>
    </row>
    <row r="70" spans="1:15" x14ac:dyDescent="0.25">
      <c r="A70" s="69"/>
      <c r="B70" s="81"/>
      <c r="C70" s="32"/>
      <c r="D70" s="32"/>
      <c r="E70" s="32"/>
      <c r="F70" s="32"/>
      <c r="G70" s="32"/>
    </row>
    <row r="71" spans="1:15" ht="13.8" thickBot="1" x14ac:dyDescent="0.3">
      <c r="A71" s="83" t="s">
        <v>98</v>
      </c>
      <c r="B71" s="84">
        <f t="shared" ref="B71" si="5">B25-B68</f>
        <v>-30879</v>
      </c>
      <c r="C71" s="84">
        <f t="shared" ref="B71:N71" si="6">C25-C68</f>
        <v>0</v>
      </c>
      <c r="D71" s="33">
        <f t="shared" si="6"/>
        <v>0</v>
      </c>
      <c r="E71" s="33">
        <f t="shared" si="6"/>
        <v>0</v>
      </c>
      <c r="F71" s="33">
        <f t="shared" si="6"/>
        <v>0</v>
      </c>
      <c r="G71" s="33">
        <f t="shared" si="6"/>
        <v>0</v>
      </c>
      <c r="H71" s="84">
        <f t="shared" si="6"/>
        <v>0</v>
      </c>
      <c r="I71" s="84">
        <f t="shared" si="6"/>
        <v>0</v>
      </c>
      <c r="J71" s="84">
        <f t="shared" si="6"/>
        <v>0</v>
      </c>
      <c r="K71" s="84">
        <f t="shared" si="6"/>
        <v>0</v>
      </c>
      <c r="L71" s="84">
        <f t="shared" si="6"/>
        <v>0</v>
      </c>
      <c r="M71" s="84">
        <f t="shared" si="6"/>
        <v>0</v>
      </c>
      <c r="N71" s="84">
        <f t="shared" si="6"/>
        <v>-30879</v>
      </c>
    </row>
    <row r="72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5A28F-6F29-42DC-844F-594817DDAB00}">
  <dimension ref="A1:N5"/>
  <sheetViews>
    <sheetView workbookViewId="0">
      <selection activeCell="G20" sqref="G20"/>
    </sheetView>
  </sheetViews>
  <sheetFormatPr defaultRowHeight="13.2" x14ac:dyDescent="0.25"/>
  <cols>
    <col min="1" max="1" width="20.33203125" customWidth="1"/>
    <col min="2" max="2" width="11.44140625" bestFit="1" customWidth="1"/>
    <col min="3" max="6" width="10.44140625" bestFit="1" customWidth="1"/>
    <col min="7" max="7" width="9.21875" customWidth="1"/>
    <col min="8" max="8" width="10.33203125" customWidth="1"/>
    <col min="9" max="14" width="6" bestFit="1" customWidth="1"/>
  </cols>
  <sheetData>
    <row r="1" spans="1:14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4" s="125" customFormat="1" ht="14.4" x14ac:dyDescent="0.3">
      <c r="A2" s="125" t="s">
        <v>102</v>
      </c>
      <c r="B2" s="109">
        <v>22394.5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137</v>
      </c>
      <c r="B4" s="107"/>
      <c r="C4" s="107">
        <v>0</v>
      </c>
      <c r="D4" s="107">
        <v>0</v>
      </c>
      <c r="E4" s="107">
        <v>0</v>
      </c>
      <c r="F4" s="107">
        <v>0</v>
      </c>
      <c r="G4" s="107">
        <v>0</v>
      </c>
      <c r="H4" s="107">
        <v>0</v>
      </c>
      <c r="I4" s="107">
        <v>0</v>
      </c>
      <c r="J4" s="107">
        <v>0</v>
      </c>
      <c r="K4" s="107">
        <v>0</v>
      </c>
      <c r="L4" s="107">
        <v>0</v>
      </c>
      <c r="M4" s="107">
        <v>0</v>
      </c>
      <c r="N4" s="107">
        <v>0</v>
      </c>
    </row>
    <row r="5" spans="1:14" x14ac:dyDescent="0.25">
      <c r="A5" t="s">
        <v>155</v>
      </c>
      <c r="E5">
        <v>-22394.5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3C6B6-C853-421E-B7F4-A8015227D01B}">
  <dimension ref="A1:N5"/>
  <sheetViews>
    <sheetView workbookViewId="0">
      <selection activeCell="C4" sqref="C4:N4"/>
    </sheetView>
  </sheetViews>
  <sheetFormatPr defaultRowHeight="13.2" x14ac:dyDescent="0.25"/>
  <cols>
    <col min="1" max="1" width="28.5546875" customWidth="1"/>
    <col min="2" max="2" width="12.33203125" customWidth="1"/>
    <col min="4" max="14" width="10.44140625" bestFit="1" customWidth="1"/>
  </cols>
  <sheetData>
    <row r="1" spans="1:14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4" s="125" customFormat="1" ht="14.4" x14ac:dyDescent="0.3">
      <c r="A2" s="125" t="s">
        <v>102</v>
      </c>
      <c r="B2" s="109">
        <v>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144</v>
      </c>
      <c r="B4" s="107"/>
      <c r="C4" s="107">
        <v>0</v>
      </c>
      <c r="D4" s="107">
        <v>1000</v>
      </c>
      <c r="E4" s="107">
        <v>1000</v>
      </c>
      <c r="F4" s="107">
        <v>5000</v>
      </c>
      <c r="G4" s="107">
        <v>5000</v>
      </c>
      <c r="H4" s="107">
        <v>1000</v>
      </c>
      <c r="I4" s="107">
        <v>1000</v>
      </c>
      <c r="J4" s="107">
        <v>1000</v>
      </c>
      <c r="K4" s="107">
        <v>1000</v>
      </c>
      <c r="L4" s="107">
        <v>5000</v>
      </c>
      <c r="M4" s="107">
        <v>5000</v>
      </c>
      <c r="N4" s="107">
        <v>5000</v>
      </c>
    </row>
    <row r="5" spans="1:14" x14ac:dyDescent="0.25">
      <c r="A5" t="s">
        <v>155</v>
      </c>
      <c r="B5" s="143"/>
      <c r="C5" s="143">
        <v>0</v>
      </c>
      <c r="D5" s="143">
        <v>0</v>
      </c>
      <c r="E5" s="143">
        <v>0</v>
      </c>
      <c r="F5" s="143">
        <v>0</v>
      </c>
      <c r="G5" s="143">
        <v>0</v>
      </c>
      <c r="H5" s="143">
        <v>0</v>
      </c>
      <c r="I5" s="143">
        <v>0</v>
      </c>
      <c r="J5" s="143">
        <v>0</v>
      </c>
      <c r="K5" s="143">
        <v>0</v>
      </c>
      <c r="L5" s="143">
        <v>0</v>
      </c>
      <c r="M5" s="143">
        <v>0</v>
      </c>
      <c r="N5" s="143">
        <v>0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DCFC1-897F-4A45-9ABB-A8568B9CCC8C}">
  <dimension ref="A1:O5"/>
  <sheetViews>
    <sheetView workbookViewId="0">
      <selection activeCell="D6" sqref="D6"/>
    </sheetView>
  </sheetViews>
  <sheetFormatPr defaultRowHeight="13.2" x14ac:dyDescent="0.25"/>
  <cols>
    <col min="1" max="1" width="19.21875" customWidth="1"/>
    <col min="2" max="2" width="11.44140625" bestFit="1" customWidth="1"/>
    <col min="14" max="14" width="11.44140625" bestFit="1" customWidth="1"/>
  </cols>
  <sheetData>
    <row r="1" spans="1:15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5" s="125" customFormat="1" ht="14.4" x14ac:dyDescent="0.3">
      <c r="A2" s="125" t="s">
        <v>102</v>
      </c>
      <c r="B2" s="109">
        <v>16689.599999999999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5" x14ac:dyDescent="0.25">
      <c r="A4" s="4" t="s">
        <v>156</v>
      </c>
      <c r="B4" s="107"/>
      <c r="C4" s="107">
        <v>0</v>
      </c>
      <c r="D4" s="107">
        <v>0</v>
      </c>
      <c r="E4" s="107">
        <v>0</v>
      </c>
      <c r="F4" s="107">
        <v>0</v>
      </c>
      <c r="G4" s="107">
        <v>0</v>
      </c>
      <c r="H4" s="107">
        <v>0</v>
      </c>
      <c r="I4" s="107">
        <v>0</v>
      </c>
      <c r="J4" s="107">
        <v>0</v>
      </c>
      <c r="K4" s="107">
        <v>0</v>
      </c>
      <c r="L4" s="107">
        <v>0</v>
      </c>
      <c r="M4" s="107">
        <v>0</v>
      </c>
      <c r="N4" s="107">
        <v>13000</v>
      </c>
      <c r="O4" t="s">
        <v>157</v>
      </c>
    </row>
    <row r="5" spans="1:15" x14ac:dyDescent="0.25">
      <c r="A5" t="s">
        <v>155</v>
      </c>
      <c r="D5">
        <v>-16689.599999999999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E2D5E-A5AA-4559-A1FA-A92EB49637CD}">
  <dimension ref="A1:O6"/>
  <sheetViews>
    <sheetView workbookViewId="0">
      <selection activeCell="I19" sqref="I19"/>
    </sheetView>
  </sheetViews>
  <sheetFormatPr defaultRowHeight="13.2" x14ac:dyDescent="0.25"/>
  <cols>
    <col min="1" max="1" width="21.33203125" customWidth="1"/>
    <col min="2" max="2" width="10.44140625" bestFit="1" customWidth="1"/>
    <col min="3" max="3" width="11.109375" bestFit="1" customWidth="1"/>
    <col min="4" max="6" width="12.109375" bestFit="1" customWidth="1"/>
    <col min="7" max="12" width="11.44140625" bestFit="1" customWidth="1"/>
    <col min="13" max="14" width="12.109375" bestFit="1" customWidth="1"/>
  </cols>
  <sheetData>
    <row r="1" spans="1:15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5" s="125" customFormat="1" ht="14.4" x14ac:dyDescent="0.3">
      <c r="A2" s="125" t="s">
        <v>102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5" x14ac:dyDescent="0.25">
      <c r="A4" s="4" t="s">
        <v>161</v>
      </c>
      <c r="B4" s="107">
        <v>4752.3999999999996</v>
      </c>
      <c r="C4" s="107">
        <v>3000</v>
      </c>
      <c r="D4" s="107">
        <v>88670</v>
      </c>
      <c r="E4" s="107">
        <v>87670</v>
      </c>
      <c r="F4" s="107">
        <v>85670</v>
      </c>
      <c r="G4" s="107">
        <v>3000</v>
      </c>
      <c r="H4" s="107">
        <v>3000</v>
      </c>
      <c r="I4" s="107">
        <v>5000</v>
      </c>
      <c r="J4" s="107">
        <v>3000</v>
      </c>
      <c r="K4" s="107">
        <v>3000</v>
      </c>
      <c r="L4" s="107">
        <v>3000</v>
      </c>
      <c r="M4" s="107">
        <v>89340</v>
      </c>
      <c r="N4" s="107">
        <v>89340</v>
      </c>
      <c r="O4" t="s">
        <v>160</v>
      </c>
    </row>
    <row r="5" spans="1:15" x14ac:dyDescent="0.25">
      <c r="A5" t="s">
        <v>155</v>
      </c>
      <c r="B5" s="143"/>
      <c r="C5" s="143">
        <v>-4752.3999999999996</v>
      </c>
      <c r="D5" s="143">
        <v>-85670</v>
      </c>
      <c r="E5" s="143">
        <v>-88670</v>
      </c>
      <c r="F5" s="143">
        <v>-87670</v>
      </c>
      <c r="G5" s="143">
        <v>-3000</v>
      </c>
      <c r="H5" s="143">
        <v>-3000</v>
      </c>
      <c r="I5" s="143">
        <v>-5000</v>
      </c>
      <c r="J5" s="143">
        <v>-3000</v>
      </c>
      <c r="K5" s="143">
        <v>-3000</v>
      </c>
      <c r="L5" s="143">
        <v>-3000</v>
      </c>
      <c r="M5" s="143">
        <v>-89340</v>
      </c>
      <c r="N5" s="143">
        <v>-89340</v>
      </c>
      <c r="O5" s="143"/>
    </row>
    <row r="6" spans="1:15" x14ac:dyDescent="0.25">
      <c r="C6" s="126">
        <f>SUM(B4+C4+C5)</f>
        <v>3000</v>
      </c>
      <c r="D6" s="126">
        <f t="shared" ref="D6:N6" si="0">SUM(C6+D4+D5)</f>
        <v>6000</v>
      </c>
      <c r="E6" s="126">
        <f t="shared" si="0"/>
        <v>5000</v>
      </c>
      <c r="F6" s="126">
        <f t="shared" si="0"/>
        <v>3000</v>
      </c>
      <c r="G6" s="126">
        <f t="shared" si="0"/>
        <v>3000</v>
      </c>
      <c r="H6" s="126">
        <f t="shared" si="0"/>
        <v>3000</v>
      </c>
      <c r="I6" s="126">
        <f t="shared" si="0"/>
        <v>3000</v>
      </c>
      <c r="J6" s="126">
        <f t="shared" si="0"/>
        <v>3000</v>
      </c>
      <c r="K6" s="126">
        <f t="shared" si="0"/>
        <v>3000</v>
      </c>
      <c r="L6" s="126">
        <f t="shared" si="0"/>
        <v>3000</v>
      </c>
      <c r="M6" s="126">
        <f t="shared" si="0"/>
        <v>3000</v>
      </c>
      <c r="N6" s="126">
        <f t="shared" si="0"/>
        <v>3000</v>
      </c>
    </row>
  </sheetData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276FD-190D-4A14-8648-D40FA46576A5}">
  <dimension ref="A1:N6"/>
  <sheetViews>
    <sheetView workbookViewId="0">
      <selection activeCell="C7" sqref="C7"/>
    </sheetView>
  </sheetViews>
  <sheetFormatPr defaultRowHeight="13.2" x14ac:dyDescent="0.25"/>
  <cols>
    <col min="1" max="1" width="24.109375" customWidth="1"/>
    <col min="2" max="2" width="10.44140625" bestFit="1" customWidth="1"/>
    <col min="3" max="3" width="11.109375" bestFit="1" customWidth="1"/>
    <col min="4" max="5" width="11.44140625" bestFit="1" customWidth="1"/>
    <col min="6" max="6" width="12.109375" bestFit="1" customWidth="1"/>
    <col min="7" max="8" width="11.44140625" bestFit="1" customWidth="1"/>
    <col min="9" max="9" width="12.109375" bestFit="1" customWidth="1"/>
    <col min="10" max="10" width="11.44140625" bestFit="1" customWidth="1"/>
    <col min="11" max="11" width="11.5546875" bestFit="1" customWidth="1"/>
    <col min="12" max="12" width="12.109375" bestFit="1" customWidth="1"/>
    <col min="13" max="13" width="11.44140625" bestFit="1" customWidth="1"/>
    <col min="14" max="14" width="12.109375" bestFit="1" customWidth="1"/>
  </cols>
  <sheetData>
    <row r="1" spans="1:14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4" s="125" customFormat="1" ht="14.4" x14ac:dyDescent="0.3">
      <c r="A2" s="125" t="s">
        <v>102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142</v>
      </c>
      <c r="B4" s="107">
        <v>3724.51</v>
      </c>
      <c r="C4" s="107">
        <v>5830</v>
      </c>
      <c r="D4" s="107">
        <v>5830</v>
      </c>
      <c r="E4" s="107">
        <v>7500</v>
      </c>
      <c r="F4" s="107">
        <v>7500</v>
      </c>
      <c r="G4" s="107">
        <v>7500</v>
      </c>
      <c r="H4" s="107">
        <v>7500</v>
      </c>
      <c r="I4" s="107">
        <v>7500</v>
      </c>
      <c r="J4" s="107">
        <v>7500</v>
      </c>
      <c r="K4" s="107">
        <v>7500</v>
      </c>
      <c r="L4" s="107">
        <v>7500</v>
      </c>
      <c r="M4" s="107">
        <v>7500</v>
      </c>
      <c r="N4" s="107">
        <v>7500</v>
      </c>
    </row>
    <row r="5" spans="1:14" x14ac:dyDescent="0.25">
      <c r="A5" t="s">
        <v>155</v>
      </c>
      <c r="B5" s="143"/>
      <c r="C5" s="143">
        <v>-3724.51</v>
      </c>
      <c r="D5" s="143">
        <v>0</v>
      </c>
      <c r="E5" s="143">
        <v>0</v>
      </c>
      <c r="F5" s="143">
        <v>-19160</v>
      </c>
      <c r="G5" s="143">
        <v>0</v>
      </c>
      <c r="H5" s="143">
        <v>0</v>
      </c>
      <c r="I5" s="143">
        <v>-22500</v>
      </c>
      <c r="J5" s="143">
        <v>0</v>
      </c>
      <c r="K5" s="143">
        <v>0</v>
      </c>
      <c r="L5" s="143">
        <v>-22500</v>
      </c>
      <c r="M5" s="143">
        <v>0</v>
      </c>
      <c r="N5" s="143">
        <v>-22500</v>
      </c>
    </row>
    <row r="6" spans="1:14" x14ac:dyDescent="0.25">
      <c r="C6" s="126">
        <f>SUM(B4+C4+C5)</f>
        <v>5830</v>
      </c>
      <c r="D6" s="126">
        <f t="shared" ref="D6:N6" si="0">SUM(C6+D4+D5)</f>
        <v>11660</v>
      </c>
      <c r="E6" s="126">
        <f t="shared" si="0"/>
        <v>19160</v>
      </c>
      <c r="F6" s="126">
        <f t="shared" si="0"/>
        <v>7500</v>
      </c>
      <c r="G6" s="126">
        <f t="shared" si="0"/>
        <v>15000</v>
      </c>
      <c r="H6" s="126">
        <f t="shared" si="0"/>
        <v>22500</v>
      </c>
      <c r="I6" s="126">
        <f t="shared" si="0"/>
        <v>7500</v>
      </c>
      <c r="J6" s="126">
        <f t="shared" si="0"/>
        <v>15000</v>
      </c>
      <c r="K6" s="126">
        <f t="shared" si="0"/>
        <v>22500</v>
      </c>
      <c r="L6" s="126">
        <f t="shared" si="0"/>
        <v>7500</v>
      </c>
      <c r="M6" s="126">
        <f t="shared" si="0"/>
        <v>15000</v>
      </c>
      <c r="N6" s="126">
        <f t="shared" si="0"/>
        <v>0</v>
      </c>
    </row>
  </sheetData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640F3-C478-4FB5-9A8D-58CF4DFE00F4}">
  <dimension ref="A1:O6"/>
  <sheetViews>
    <sheetView workbookViewId="0">
      <selection activeCell="D6" sqref="D6"/>
    </sheetView>
  </sheetViews>
  <sheetFormatPr defaultRowHeight="13.2" x14ac:dyDescent="0.25"/>
  <cols>
    <col min="1" max="1" width="23.77734375" customWidth="1"/>
    <col min="2" max="2" width="12.44140625" customWidth="1"/>
    <col min="3" max="5" width="11.109375" bestFit="1" customWidth="1"/>
    <col min="6" max="8" width="11.21875" bestFit="1" customWidth="1"/>
    <col min="9" max="10" width="11.109375" bestFit="1" customWidth="1"/>
    <col min="11" max="11" width="11.6640625" bestFit="1" customWidth="1"/>
    <col min="12" max="12" width="11.109375" bestFit="1" customWidth="1"/>
    <col min="13" max="13" width="11.33203125" bestFit="1" customWidth="1"/>
    <col min="14" max="14" width="11.109375" bestFit="1" customWidth="1"/>
  </cols>
  <sheetData>
    <row r="1" spans="1:15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5" s="125" customFormat="1" ht="14.4" x14ac:dyDescent="0.3">
      <c r="A2" s="125" t="s">
        <v>102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5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5" x14ac:dyDescent="0.25">
      <c r="A4" s="4" t="s">
        <v>158</v>
      </c>
      <c r="B4" s="107">
        <v>1699.04</v>
      </c>
      <c r="C4" s="107">
        <v>2250</v>
      </c>
      <c r="D4" s="107">
        <v>4170</v>
      </c>
      <c r="E4" s="107">
        <v>6385</v>
      </c>
      <c r="F4" s="107">
        <v>5200</v>
      </c>
      <c r="G4" s="107">
        <v>3920</v>
      </c>
      <c r="H4" s="107">
        <v>2600</v>
      </c>
      <c r="I4" s="107">
        <v>2425</v>
      </c>
      <c r="J4" s="107">
        <v>3125</v>
      </c>
      <c r="K4" s="107">
        <v>2380</v>
      </c>
      <c r="L4" s="107">
        <v>5000</v>
      </c>
      <c r="M4" s="107">
        <v>4670</v>
      </c>
      <c r="N4" s="107">
        <v>4300</v>
      </c>
      <c r="O4" t="s">
        <v>159</v>
      </c>
    </row>
    <row r="5" spans="1:15" s="143" customFormat="1" x14ac:dyDescent="0.25">
      <c r="A5" s="143" t="s">
        <v>155</v>
      </c>
      <c r="C5" s="143">
        <v>-5187.58</v>
      </c>
      <c r="D5" s="143">
        <v>-2250</v>
      </c>
      <c r="E5" s="143">
        <v>-4170</v>
      </c>
      <c r="F5" s="143">
        <v>-6385</v>
      </c>
      <c r="G5" s="143">
        <v>-5200</v>
      </c>
      <c r="H5" s="143">
        <v>-3920</v>
      </c>
      <c r="I5" s="143">
        <v>-2600</v>
      </c>
      <c r="J5" s="143">
        <v>-2425</v>
      </c>
      <c r="K5" s="143">
        <v>-3125</v>
      </c>
      <c r="L5" s="143">
        <v>-2380</v>
      </c>
      <c r="M5" s="143">
        <v>-5000</v>
      </c>
      <c r="N5" s="143">
        <v>-4670</v>
      </c>
    </row>
    <row r="6" spans="1:15" x14ac:dyDescent="0.25">
      <c r="C6" s="126">
        <f>SUM(B4+C4+C5)</f>
        <v>-1238.54</v>
      </c>
      <c r="D6" s="126">
        <f t="shared" ref="D6:N6" si="0">SUM(C6+D4+D5)</f>
        <v>681.46</v>
      </c>
      <c r="E6" s="126">
        <f t="shared" si="0"/>
        <v>2896.46</v>
      </c>
      <c r="F6" s="126">
        <f t="shared" si="0"/>
        <v>1711.46</v>
      </c>
      <c r="G6" s="126">
        <f t="shared" si="0"/>
        <v>431.46000000000004</v>
      </c>
      <c r="H6" s="126">
        <f t="shared" si="0"/>
        <v>-888.54</v>
      </c>
      <c r="I6" s="126">
        <f t="shared" si="0"/>
        <v>-1063.54</v>
      </c>
      <c r="J6" s="126">
        <f t="shared" si="0"/>
        <v>-363.53999999999996</v>
      </c>
      <c r="K6" s="126">
        <f t="shared" si="0"/>
        <v>-1108.54</v>
      </c>
      <c r="L6" s="126">
        <f t="shared" si="0"/>
        <v>1511.46</v>
      </c>
      <c r="M6" s="126">
        <f t="shared" si="0"/>
        <v>1181.46</v>
      </c>
      <c r="N6" s="126">
        <f t="shared" si="0"/>
        <v>811.46</v>
      </c>
    </row>
  </sheetData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51728-B896-4103-98F1-A285826E74A3}">
  <dimension ref="A1:N6"/>
  <sheetViews>
    <sheetView workbookViewId="0">
      <selection activeCell="M11" sqref="M11"/>
    </sheetView>
  </sheetViews>
  <sheetFormatPr defaultRowHeight="13.2" x14ac:dyDescent="0.25"/>
  <cols>
    <col min="1" max="1" width="17.44140625" customWidth="1"/>
    <col min="2" max="12" width="10.44140625" bestFit="1" customWidth="1"/>
    <col min="13" max="13" width="13" customWidth="1"/>
    <col min="14" max="14" width="12.109375" bestFit="1" customWidth="1"/>
  </cols>
  <sheetData>
    <row r="1" spans="1:14" s="125" customFormat="1" ht="14.4" x14ac:dyDescent="0.3">
      <c r="B1" s="37" t="s">
        <v>154</v>
      </c>
      <c r="C1" s="109" t="s">
        <v>51</v>
      </c>
      <c r="D1" s="109" t="s">
        <v>52</v>
      </c>
      <c r="E1" s="109" t="s">
        <v>53</v>
      </c>
      <c r="F1" s="109" t="s">
        <v>54</v>
      </c>
      <c r="G1" s="109" t="s">
        <v>55</v>
      </c>
      <c r="H1" s="109" t="s">
        <v>56</v>
      </c>
      <c r="I1" s="109" t="s">
        <v>57</v>
      </c>
      <c r="J1" s="109" t="s">
        <v>58</v>
      </c>
      <c r="K1" s="109" t="s">
        <v>59</v>
      </c>
      <c r="L1" s="109" t="s">
        <v>60</v>
      </c>
      <c r="M1" s="109" t="s">
        <v>61</v>
      </c>
      <c r="N1" s="109" t="s">
        <v>50</v>
      </c>
    </row>
    <row r="2" spans="1:14" s="125" customFormat="1" ht="14.4" x14ac:dyDescent="0.3">
      <c r="A2" s="125" t="s">
        <v>102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25">
      <c r="A3" s="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x14ac:dyDescent="0.25">
      <c r="A4" s="4" t="s">
        <v>143</v>
      </c>
      <c r="B4" s="107">
        <v>4724</v>
      </c>
      <c r="C4" s="107">
        <v>500</v>
      </c>
      <c r="D4" s="107">
        <v>500</v>
      </c>
      <c r="E4" s="107">
        <v>500</v>
      </c>
      <c r="F4" s="107">
        <v>500</v>
      </c>
      <c r="G4" s="107">
        <v>500</v>
      </c>
      <c r="H4" s="107">
        <v>500</v>
      </c>
      <c r="I4" s="107">
        <v>500</v>
      </c>
      <c r="J4" s="107">
        <v>500</v>
      </c>
      <c r="K4" s="107">
        <v>500</v>
      </c>
      <c r="L4" s="107">
        <v>500</v>
      </c>
      <c r="M4" s="107">
        <v>500</v>
      </c>
      <c r="N4" s="107">
        <v>0</v>
      </c>
    </row>
    <row r="5" spans="1:14" x14ac:dyDescent="0.25">
      <c r="A5" t="s">
        <v>155</v>
      </c>
      <c r="N5" s="143">
        <v>-10224</v>
      </c>
    </row>
    <row r="6" spans="1:14" x14ac:dyDescent="0.25">
      <c r="C6" s="126">
        <f>SUM(B4+C4+C5)</f>
        <v>5224</v>
      </c>
      <c r="D6" s="126">
        <f>SUM(C6+D4+D5)</f>
        <v>5724</v>
      </c>
      <c r="E6" s="126">
        <f t="shared" ref="E6:N6" si="0">SUM(D6+E4+E5)</f>
        <v>6224</v>
      </c>
      <c r="F6" s="126">
        <f t="shared" si="0"/>
        <v>6724</v>
      </c>
      <c r="G6" s="126">
        <f t="shared" si="0"/>
        <v>7224</v>
      </c>
      <c r="H6" s="126">
        <f t="shared" si="0"/>
        <v>7724</v>
      </c>
      <c r="I6" s="126">
        <f t="shared" si="0"/>
        <v>8224</v>
      </c>
      <c r="J6" s="126">
        <f t="shared" si="0"/>
        <v>8724</v>
      </c>
      <c r="K6" s="126">
        <f t="shared" si="0"/>
        <v>9224</v>
      </c>
      <c r="L6" s="126">
        <f t="shared" si="0"/>
        <v>9724</v>
      </c>
      <c r="M6" s="126">
        <f t="shared" si="0"/>
        <v>10224</v>
      </c>
      <c r="N6" s="126">
        <f t="shared" si="0"/>
        <v>0</v>
      </c>
    </row>
  </sheetData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1" t="s">
        <v>115</v>
      </c>
      <c r="C1" s="4"/>
      <c r="D1" s="4"/>
      <c r="E1" s="4" t="s">
        <v>117</v>
      </c>
      <c r="F1" s="4"/>
      <c r="G1" s="4"/>
      <c r="H1" s="4" t="s">
        <v>116</v>
      </c>
    </row>
    <row r="2" spans="1:9" x14ac:dyDescent="0.25">
      <c r="B2" s="18"/>
      <c r="C2" s="19"/>
      <c r="D2" s="4"/>
      <c r="E2" s="19"/>
      <c r="F2" s="19"/>
      <c r="G2" s="4"/>
      <c r="H2" s="19"/>
      <c r="I2" s="20"/>
    </row>
    <row r="3" spans="1:9" x14ac:dyDescent="0.25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 x14ac:dyDescent="0.25">
      <c r="A4" s="11" t="s">
        <v>112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 x14ac:dyDescent="0.25">
      <c r="A5" s="11" t="s">
        <v>113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 x14ac:dyDescent="0.25">
      <c r="A6" s="11" t="s">
        <v>114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 x14ac:dyDescent="0.25">
      <c r="A10" s="21"/>
      <c r="B10" s="21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53A289893EFC4986318E93DAEB65E0" ma:contentTypeVersion="11" ma:contentTypeDescription="Create a new document." ma:contentTypeScope="" ma:versionID="25c169f551367b307377462e7e557572">
  <xsd:schema xmlns:xsd="http://www.w3.org/2001/XMLSchema" xmlns:xs="http://www.w3.org/2001/XMLSchema" xmlns:p="http://schemas.microsoft.com/office/2006/metadata/properties" xmlns:ns3="c041fd85-c24b-43c8-bbb4-b2193399eb26" targetNamespace="http://schemas.microsoft.com/office/2006/metadata/properties" ma:root="true" ma:fieldsID="7b52479502f8cbb739a8f2aabd58cfa9" ns3:_="">
    <xsd:import namespace="c041fd85-c24b-43c8-bbb4-b2193399eb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1fd85-c24b-43c8-bbb4-b2193399eb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318DCF-E682-4855-A03B-22A338B0A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41fd85-c24b-43c8-bbb4-b2193399eb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536FCD3-D981-4386-93A4-05C2BC53F669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c041fd85-c24b-43c8-bbb4-b2193399eb26"/>
  </ds:schemaRefs>
</ds:datastoreItem>
</file>

<file path=customXml/itemProps3.xml><?xml version="1.0" encoding="utf-8"?>
<ds:datastoreItem xmlns:ds="http://schemas.openxmlformats.org/officeDocument/2006/customXml" ds:itemID="{C7B6E916-30C2-4E2D-B5D5-4D78D5B40B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6</vt:i4>
      </vt:variant>
    </vt:vector>
  </HeadingPairs>
  <TitlesOfParts>
    <vt:vector size="19" baseType="lpstr">
      <vt:lpstr>Income Statement</vt:lpstr>
      <vt:lpstr>BS</vt:lpstr>
      <vt:lpstr>CF</vt:lpstr>
      <vt:lpstr>BS wrksht</vt:lpstr>
      <vt:lpstr>P&amp;L Monthly Totals</vt:lpstr>
      <vt:lpstr>Duck Stamp 2022</vt:lpstr>
      <vt:lpstr>Duck Stamp 2025</vt:lpstr>
      <vt:lpstr>R3 2025</vt:lpstr>
      <vt:lpstr>LYR 2024</vt:lpstr>
      <vt:lpstr>NRCS</vt:lpstr>
      <vt:lpstr>PLE 2024</vt:lpstr>
      <vt:lpstr>NAWCA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2025-02-06T21:11:21Z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0x010100FD53A289893EFC4986318E93DAEB65E0</vt:lpwstr>
  </property>
</Properties>
</file>