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6/"/>
    </mc:Choice>
  </mc:AlternateContent>
  <xr:revisionPtr revIDLastSave="1179" documentId="8_{CD268B07-D298-4C37-9AEF-51C224094796}" xr6:coauthVersionLast="47" xr6:coauthVersionMax="47" xr10:uidLastSave="{A9A6B652-4687-4B7E-98AD-60535C568556}"/>
  <bookViews>
    <workbookView xWindow="8796" yWindow="456" windowWidth="13380" windowHeight="13068" tabRatio="844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2026 EXPO P&amp;L" sheetId="19" r:id="rId5"/>
    <sheet name="2026 - Habitat P&amp;L" sheetId="20" r:id="rId6"/>
    <sheet name="Sheet4" sheetId="21" r:id="rId7"/>
    <sheet name="P&amp;L Monthly Totals" sheetId="5" r:id="rId8"/>
    <sheet name="2011 VS 2012 by Class" sheetId="6" state="hidden" r:id="rId9"/>
  </sheets>
  <externalReferences>
    <externalReference r:id="rId10"/>
  </externalReferences>
  <definedNames>
    <definedName name="LOCAL_MYSQL_DATE_FORMAT" localSheetId="4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1">BS!$E$4:$V$50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Statement'!$A$1:$P$77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BS!$E$3:$M$51</definedName>
    <definedName name="Report" localSheetId="1">BS!$A$3:$M$51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21" l="1"/>
  <c r="B8" i="21"/>
  <c r="D7" i="21"/>
  <c r="E7" i="21" s="1"/>
  <c r="H6" i="21"/>
  <c r="E6" i="21"/>
  <c r="G6" i="21" s="1"/>
  <c r="D6" i="21"/>
  <c r="E5" i="21"/>
  <c r="J5" i="21" s="1"/>
  <c r="D5" i="21"/>
  <c r="D4" i="21"/>
  <c r="E4" i="21" s="1"/>
  <c r="E3" i="21"/>
  <c r="H3" i="21" s="1"/>
  <c r="D3" i="21"/>
  <c r="D2" i="21"/>
  <c r="E2" i="21" s="1"/>
  <c r="S17" i="1"/>
  <c r="H2" i="21" l="1"/>
  <c r="G2" i="21"/>
  <c r="E8" i="21"/>
  <c r="F2" i="21"/>
  <c r="H4" i="21"/>
  <c r="G4" i="21"/>
  <c r="D8" i="21"/>
  <c r="F3" i="21"/>
  <c r="G3" i="21"/>
  <c r="S53" i="20"/>
  <c r="R52" i="20"/>
  <c r="Q52" i="20"/>
  <c r="P52" i="20"/>
  <c r="O52" i="20"/>
  <c r="N52" i="20"/>
  <c r="M52" i="20"/>
  <c r="L52" i="20"/>
  <c r="K52" i="20"/>
  <c r="J52" i="20"/>
  <c r="I52" i="20"/>
  <c r="H52" i="20"/>
  <c r="G52" i="20"/>
  <c r="S52" i="20" s="1"/>
  <c r="R51" i="20"/>
  <c r="Q51" i="20"/>
  <c r="P51" i="20"/>
  <c r="O51" i="20"/>
  <c r="N51" i="20"/>
  <c r="M51" i="20"/>
  <c r="L51" i="20"/>
  <c r="K51" i="20"/>
  <c r="J51" i="20"/>
  <c r="I51" i="20"/>
  <c r="H51" i="20"/>
  <c r="G51" i="20"/>
  <c r="S51" i="20" s="1"/>
  <c r="R50" i="20"/>
  <c r="Q50" i="20"/>
  <c r="P50" i="20"/>
  <c r="O50" i="20"/>
  <c r="O48" i="20" s="1"/>
  <c r="N50" i="20"/>
  <c r="M50" i="20"/>
  <c r="M48" i="20" s="1"/>
  <c r="L50" i="20"/>
  <c r="K50" i="20"/>
  <c r="J50" i="20"/>
  <c r="I50" i="20"/>
  <c r="I48" i="20" s="1"/>
  <c r="H50" i="20"/>
  <c r="G50" i="20"/>
  <c r="S50" i="20" s="1"/>
  <c r="S49" i="20"/>
  <c r="R49" i="20"/>
  <c r="Q49" i="20"/>
  <c r="Q48" i="20" s="1"/>
  <c r="P49" i="20"/>
  <c r="O49" i="20"/>
  <c r="N49" i="20"/>
  <c r="N48" i="20" s="1"/>
  <c r="M49" i="20"/>
  <c r="L49" i="20"/>
  <c r="L48" i="20" s="1"/>
  <c r="K49" i="20"/>
  <c r="K48" i="20" s="1"/>
  <c r="J49" i="20"/>
  <c r="J48" i="20" s="1"/>
  <c r="I49" i="20"/>
  <c r="H49" i="20"/>
  <c r="H48" i="20" s="1"/>
  <c r="G49" i="20"/>
  <c r="G48" i="20" s="1"/>
  <c r="R48" i="20"/>
  <c r="P48" i="20"/>
  <c r="S47" i="20"/>
  <c r="S46" i="20"/>
  <c r="S45" i="20"/>
  <c r="S44" i="20"/>
  <c r="S43" i="20"/>
  <c r="S42" i="20"/>
  <c r="S41" i="20"/>
  <c r="S40" i="20"/>
  <c r="S39" i="20"/>
  <c r="S38" i="20"/>
  <c r="S37" i="20"/>
  <c r="S36" i="20"/>
  <c r="S35" i="20"/>
  <c r="R34" i="20"/>
  <c r="R33" i="20" s="1"/>
  <c r="R26" i="20" s="1"/>
  <c r="Q34" i="20"/>
  <c r="Q33" i="20" s="1"/>
  <c r="P34" i="20"/>
  <c r="S34" i="20" s="1"/>
  <c r="O34" i="20"/>
  <c r="N34" i="20"/>
  <c r="N33" i="20" s="1"/>
  <c r="M34" i="20"/>
  <c r="L34" i="20"/>
  <c r="L33" i="20" s="1"/>
  <c r="K34" i="20"/>
  <c r="K33" i="20" s="1"/>
  <c r="J34" i="20"/>
  <c r="J33" i="20" s="1"/>
  <c r="I34" i="20"/>
  <c r="H34" i="20"/>
  <c r="H33" i="20" s="1"/>
  <c r="G34" i="20"/>
  <c r="G33" i="20" s="1"/>
  <c r="O33" i="20"/>
  <c r="M33" i="20"/>
  <c r="I33" i="20"/>
  <c r="S32" i="20"/>
  <c r="S31" i="20"/>
  <c r="S30" i="20"/>
  <c r="S29" i="20"/>
  <c r="S28" i="20"/>
  <c r="S27" i="20"/>
  <c r="R27" i="20"/>
  <c r="Q27" i="20"/>
  <c r="P27" i="20"/>
  <c r="O27" i="20"/>
  <c r="N27" i="20"/>
  <c r="M27" i="20"/>
  <c r="L27" i="20"/>
  <c r="K27" i="20"/>
  <c r="J27" i="20"/>
  <c r="I27" i="20"/>
  <c r="H27" i="20"/>
  <c r="G27" i="20"/>
  <c r="S24" i="20"/>
  <c r="R23" i="20"/>
  <c r="S23" i="20" s="1"/>
  <c r="Q23" i="20"/>
  <c r="P23" i="20"/>
  <c r="O23" i="20"/>
  <c r="N23" i="20"/>
  <c r="M23" i="20"/>
  <c r="L23" i="20"/>
  <c r="L19" i="20" s="1"/>
  <c r="K23" i="20"/>
  <c r="J23" i="20"/>
  <c r="I23" i="20"/>
  <c r="H23" i="20"/>
  <c r="G23" i="20"/>
  <c r="R22" i="20"/>
  <c r="Q22" i="20"/>
  <c r="S22" i="20" s="1"/>
  <c r="P22" i="20"/>
  <c r="O22" i="20"/>
  <c r="N22" i="20"/>
  <c r="M22" i="20"/>
  <c r="L22" i="20"/>
  <c r="K22" i="20"/>
  <c r="J22" i="20"/>
  <c r="I22" i="20"/>
  <c r="H22" i="20"/>
  <c r="G22" i="20"/>
  <c r="R21" i="20"/>
  <c r="Q21" i="20"/>
  <c r="P21" i="20"/>
  <c r="S21" i="20" s="1"/>
  <c r="O21" i="20"/>
  <c r="N21" i="20"/>
  <c r="M21" i="20"/>
  <c r="L21" i="20"/>
  <c r="K21" i="20"/>
  <c r="J21" i="20"/>
  <c r="I21" i="20"/>
  <c r="H21" i="20"/>
  <c r="H19" i="20" s="1"/>
  <c r="G21" i="20"/>
  <c r="R20" i="20"/>
  <c r="R19" i="20" s="1"/>
  <c r="Q20" i="20"/>
  <c r="Q19" i="20" s="1"/>
  <c r="P20" i="20"/>
  <c r="P19" i="20" s="1"/>
  <c r="O20" i="20"/>
  <c r="S20" i="20" s="1"/>
  <c r="N20" i="20"/>
  <c r="M20" i="20"/>
  <c r="M19" i="20" s="1"/>
  <c r="L20" i="20"/>
  <c r="K20" i="20"/>
  <c r="K19" i="20" s="1"/>
  <c r="J20" i="20"/>
  <c r="J19" i="20" s="1"/>
  <c r="I20" i="20"/>
  <c r="I19" i="20" s="1"/>
  <c r="H20" i="20"/>
  <c r="G20" i="20"/>
  <c r="G19" i="20" s="1"/>
  <c r="N19" i="20"/>
  <c r="F19" i="20"/>
  <c r="E19" i="20"/>
  <c r="D19" i="20"/>
  <c r="C19" i="20"/>
  <c r="S18" i="20"/>
  <c r="R17" i="20"/>
  <c r="S17" i="20" s="1"/>
  <c r="Q17" i="20"/>
  <c r="P17" i="20"/>
  <c r="O17" i="20"/>
  <c r="N17" i="20"/>
  <c r="M17" i="20"/>
  <c r="L17" i="20"/>
  <c r="K17" i="20"/>
  <c r="J17" i="20"/>
  <c r="I17" i="20"/>
  <c r="H17" i="20"/>
  <c r="G17" i="20"/>
  <c r="F17" i="20"/>
  <c r="E17" i="20"/>
  <c r="D17" i="20"/>
  <c r="C17" i="20"/>
  <c r="S16" i="20"/>
  <c r="S15" i="20"/>
  <c r="S14" i="20"/>
  <c r="S13" i="20"/>
  <c r="S12" i="20"/>
  <c r="S11" i="20"/>
  <c r="S10" i="20"/>
  <c r="S9" i="20"/>
  <c r="R8" i="20"/>
  <c r="Q8" i="20"/>
  <c r="P8" i="20"/>
  <c r="O8" i="20"/>
  <c r="N8" i="20"/>
  <c r="M8" i="20"/>
  <c r="L8" i="20"/>
  <c r="K8" i="20"/>
  <c r="J8" i="20"/>
  <c r="I8" i="20"/>
  <c r="H8" i="20"/>
  <c r="G8" i="20"/>
  <c r="F8" i="20"/>
  <c r="E8" i="20"/>
  <c r="D8" i="20"/>
  <c r="C8" i="20"/>
  <c r="S7" i="20"/>
  <c r="S6" i="20"/>
  <c r="S4" i="20"/>
  <c r="R3" i="20"/>
  <c r="Q3" i="20"/>
  <c r="P3" i="20"/>
  <c r="O3" i="20"/>
  <c r="N3" i="20"/>
  <c r="M3" i="20"/>
  <c r="L3" i="20"/>
  <c r="K3" i="20"/>
  <c r="J3" i="20"/>
  <c r="I3" i="20"/>
  <c r="H3" i="20"/>
  <c r="G3" i="20"/>
  <c r="F3" i="20"/>
  <c r="E3" i="20"/>
  <c r="D3" i="20"/>
  <c r="C3" i="20"/>
  <c r="L2" i="20" l="1"/>
  <c r="N2" i="20"/>
  <c r="F8" i="21"/>
  <c r="G8" i="21"/>
  <c r="H8" i="21"/>
  <c r="H26" i="20"/>
  <c r="I26" i="20"/>
  <c r="H2" i="20"/>
  <c r="S3" i="20"/>
  <c r="S8" i="20"/>
  <c r="J2" i="20"/>
  <c r="P2" i="20"/>
  <c r="Q2" i="20"/>
  <c r="R2" i="20"/>
  <c r="I2" i="20"/>
  <c r="K2" i="20"/>
  <c r="M2" i="20"/>
  <c r="Q26" i="20"/>
  <c r="G26" i="20"/>
  <c r="M26" i="20"/>
  <c r="S48" i="20"/>
  <c r="G2" i="20"/>
  <c r="N26" i="20"/>
  <c r="O26" i="20"/>
  <c r="S55" i="20"/>
  <c r="J26" i="20"/>
  <c r="K26" i="20"/>
  <c r="L26" i="20"/>
  <c r="O19" i="20"/>
  <c r="O2" i="20" s="1"/>
  <c r="P33" i="20"/>
  <c r="P26" i="20" s="1"/>
  <c r="H10" i="21" l="1"/>
  <c r="H9" i="21"/>
  <c r="G10" i="21"/>
  <c r="G9" i="21"/>
  <c r="S26" i="20"/>
  <c r="S19" i="20"/>
  <c r="S2" i="20" s="1"/>
  <c r="S33" i="20"/>
  <c r="H18" i="2" l="1"/>
  <c r="I18" i="2"/>
  <c r="J18" i="2"/>
  <c r="K18" i="2"/>
  <c r="L18" i="2"/>
  <c r="M18" i="2"/>
  <c r="N18" i="2"/>
  <c r="O18" i="2"/>
  <c r="P18" i="2"/>
  <c r="Q18" i="2"/>
  <c r="R18" i="2"/>
  <c r="G18" i="2"/>
  <c r="J46" i="1"/>
  <c r="K35" i="1"/>
  <c r="K17" i="1" l="1"/>
  <c r="L17" i="1" s="1"/>
  <c r="M17" i="1" s="1"/>
  <c r="N17" i="1" s="1"/>
  <c r="O17" i="1" s="1"/>
  <c r="P17" i="1" s="1"/>
  <c r="Q17" i="1" s="1"/>
  <c r="R17" i="1" s="1"/>
  <c r="T17" i="1" s="1"/>
  <c r="U17" i="1" s="1"/>
  <c r="V17" i="1" s="1"/>
  <c r="P19" i="19" l="1"/>
  <c r="Q16" i="19"/>
  <c r="J16" i="19"/>
  <c r="H16" i="19"/>
  <c r="G16" i="19"/>
  <c r="E16" i="19"/>
  <c r="P15" i="19"/>
  <c r="P14" i="19"/>
  <c r="P13" i="19"/>
  <c r="P12" i="19"/>
  <c r="P11" i="19"/>
  <c r="P10" i="19"/>
  <c r="P9" i="19"/>
  <c r="P8" i="19"/>
  <c r="O8" i="19"/>
  <c r="N8" i="19"/>
  <c r="M8" i="19"/>
  <c r="L8" i="19"/>
  <c r="L16" i="19" s="1"/>
  <c r="K8" i="19"/>
  <c r="J8" i="19"/>
  <c r="I8" i="19"/>
  <c r="H8" i="19"/>
  <c r="G8" i="19"/>
  <c r="F8" i="19"/>
  <c r="E8" i="19"/>
  <c r="D8" i="19"/>
  <c r="P7" i="19"/>
  <c r="F6" i="19"/>
  <c r="F2" i="19" s="1"/>
  <c r="F16" i="19" s="1"/>
  <c r="P5" i="19"/>
  <c r="P4" i="19"/>
  <c r="P3" i="19"/>
  <c r="O2" i="19"/>
  <c r="O16" i="19" s="1"/>
  <c r="N2" i="19"/>
  <c r="N16" i="19" s="1"/>
  <c r="M2" i="19"/>
  <c r="M16" i="19" s="1"/>
  <c r="L2" i="19"/>
  <c r="K2" i="19"/>
  <c r="K16" i="19" s="1"/>
  <c r="J2" i="19"/>
  <c r="I2" i="19"/>
  <c r="I16" i="19" s="1"/>
  <c r="H2" i="19"/>
  <c r="G2" i="19"/>
  <c r="E2" i="19"/>
  <c r="D2" i="19"/>
  <c r="D16" i="19" s="1"/>
  <c r="P6" i="19" l="1"/>
  <c r="P2" i="19" s="1"/>
  <c r="P16" i="19" s="1"/>
  <c r="L35" i="1" l="1"/>
  <c r="M35" i="1" s="1"/>
  <c r="N35" i="1" s="1"/>
  <c r="O35" i="1" s="1"/>
  <c r="P35" i="1" s="1"/>
  <c r="Q35" i="1" s="1"/>
  <c r="R35" i="1" s="1"/>
  <c r="S35" i="1" s="1"/>
  <c r="T35" i="1" s="1"/>
  <c r="U35" i="1" s="1"/>
  <c r="V35" i="1" s="1"/>
  <c r="C9" i="3" l="1"/>
  <c r="D9" i="3" s="1"/>
  <c r="E9" i="3" s="1"/>
  <c r="F9" i="3" s="1"/>
  <c r="G9" i="3" s="1"/>
  <c r="H9" i="3" s="1"/>
  <c r="I9" i="3" s="1"/>
  <c r="J9" i="3" s="1"/>
  <c r="K9" i="3" s="1"/>
  <c r="L9" i="3" s="1"/>
  <c r="M9" i="3" s="1"/>
  <c r="N9" i="3" s="1"/>
  <c r="J21" i="1" l="1"/>
  <c r="M66" i="5" l="1"/>
  <c r="M53" i="5"/>
  <c r="M41" i="5"/>
  <c r="M23" i="5"/>
  <c r="M14" i="5"/>
  <c r="M25" i="5" s="1"/>
  <c r="L66" i="5"/>
  <c r="L53" i="5"/>
  <c r="L41" i="5"/>
  <c r="L23" i="5"/>
  <c r="L14" i="5"/>
  <c r="K66" i="5"/>
  <c r="K53" i="5"/>
  <c r="K41" i="5"/>
  <c r="K23" i="5"/>
  <c r="K14" i="5"/>
  <c r="L68" i="5" l="1"/>
  <c r="M68" i="5"/>
  <c r="K68" i="5"/>
  <c r="M71" i="5"/>
  <c r="L25" i="5"/>
  <c r="K25" i="5"/>
  <c r="J66" i="5"/>
  <c r="J53" i="5"/>
  <c r="J41" i="5"/>
  <c r="J23" i="5"/>
  <c r="J14" i="5"/>
  <c r="J25" i="5" s="1"/>
  <c r="I14" i="5"/>
  <c r="I23" i="5"/>
  <c r="I25" i="5"/>
  <c r="I66" i="5"/>
  <c r="I53" i="5"/>
  <c r="I41" i="5"/>
  <c r="I68" i="5" s="1"/>
  <c r="H14" i="5"/>
  <c r="H23" i="5"/>
  <c r="H66" i="5"/>
  <c r="H53" i="5"/>
  <c r="H68" i="5" s="1"/>
  <c r="H41" i="5"/>
  <c r="G66" i="5"/>
  <c r="G53" i="5"/>
  <c r="G41" i="5"/>
  <c r="G68" i="5"/>
  <c r="G23" i="5"/>
  <c r="G14" i="5"/>
  <c r="G25" i="5" s="1"/>
  <c r="G71" i="5" s="1"/>
  <c r="F66" i="5"/>
  <c r="F53" i="5"/>
  <c r="F41" i="5"/>
  <c r="F68" i="5"/>
  <c r="F14" i="5"/>
  <c r="F23" i="5"/>
  <c r="F25" i="5"/>
  <c r="E66" i="5"/>
  <c r="E68" i="5" s="1"/>
  <c r="E53" i="5"/>
  <c r="E41" i="5"/>
  <c r="E14" i="5"/>
  <c r="E23" i="5"/>
  <c r="N23" i="5" s="1"/>
  <c r="D66" i="5"/>
  <c r="D68" i="5" s="1"/>
  <c r="D53" i="5"/>
  <c r="D41" i="5"/>
  <c r="D23" i="5"/>
  <c r="D25" i="5" s="1"/>
  <c r="D14" i="5"/>
  <c r="C14" i="5"/>
  <c r="N14" i="5" s="1"/>
  <c r="C23" i="5"/>
  <c r="C66" i="5"/>
  <c r="C68" i="5" s="1"/>
  <c r="C53" i="5"/>
  <c r="C41" i="5"/>
  <c r="B66" i="5"/>
  <c r="N66" i="5" s="1"/>
  <c r="B53" i="5"/>
  <c r="B68" i="5" s="1"/>
  <c r="B71" i="5" s="1"/>
  <c r="B41" i="5"/>
  <c r="B14" i="5"/>
  <c r="B23" i="5"/>
  <c r="B25" i="5"/>
  <c r="B9" i="3"/>
  <c r="C72" i="4"/>
  <c r="J29" i="4"/>
  <c r="P31" i="4"/>
  <c r="P47" i="4"/>
  <c r="P59" i="4"/>
  <c r="N54" i="4"/>
  <c r="N55" i="4"/>
  <c r="N15" i="4"/>
  <c r="N14" i="4"/>
  <c r="N13" i="4"/>
  <c r="N64" i="4"/>
  <c r="N39" i="5"/>
  <c r="N4" i="5"/>
  <c r="N5" i="5"/>
  <c r="N6" i="5"/>
  <c r="N7" i="5"/>
  <c r="N8" i="5"/>
  <c r="N9" i="5"/>
  <c r="N10" i="5"/>
  <c r="N11" i="5"/>
  <c r="N13" i="5"/>
  <c r="N15" i="5"/>
  <c r="N16" i="5"/>
  <c r="N17" i="5"/>
  <c r="N18" i="5"/>
  <c r="N19" i="5"/>
  <c r="N20" i="5"/>
  <c r="N22" i="5"/>
  <c r="N24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40" i="5"/>
  <c r="N42" i="5"/>
  <c r="N43" i="5"/>
  <c r="N44" i="5"/>
  <c r="N45" i="5"/>
  <c r="N46" i="5"/>
  <c r="N47" i="5"/>
  <c r="N48" i="5"/>
  <c r="N50" i="5"/>
  <c r="N51" i="5"/>
  <c r="N52" i="5"/>
  <c r="N54" i="5"/>
  <c r="N55" i="5"/>
  <c r="N56" i="5"/>
  <c r="N57" i="5"/>
  <c r="N58" i="5"/>
  <c r="N59" i="5"/>
  <c r="N60" i="5"/>
  <c r="N61" i="5"/>
  <c r="N63" i="5"/>
  <c r="N65" i="5"/>
  <c r="N62" i="5"/>
  <c r="N21" i="5"/>
  <c r="N49" i="5"/>
  <c r="N12" i="5"/>
  <c r="N64" i="5"/>
  <c r="B72" i="4"/>
  <c r="N67" i="5"/>
  <c r="J50" i="1"/>
  <c r="J32" i="1"/>
  <c r="J27" i="1"/>
  <c r="N17" i="4"/>
  <c r="N57" i="4"/>
  <c r="N53" i="4"/>
  <c r="N45" i="4"/>
  <c r="N42" i="4"/>
  <c r="N9" i="4"/>
  <c r="N10" i="4"/>
  <c r="N11" i="4"/>
  <c r="N12" i="4"/>
  <c r="N16" i="4"/>
  <c r="N18" i="4"/>
  <c r="G15" i="2"/>
  <c r="G24" i="2"/>
  <c r="G20" i="2"/>
  <c r="G19" i="2"/>
  <c r="G16" i="2"/>
  <c r="G14" i="2"/>
  <c r="G9" i="2"/>
  <c r="N25" i="4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5" i="4"/>
  <c r="N46" i="4"/>
  <c r="N44" i="4"/>
  <c r="N36" i="4"/>
  <c r="J72" i="4"/>
  <c r="J59" i="4"/>
  <c r="J47" i="4"/>
  <c r="J20" i="4"/>
  <c r="N3" i="5"/>
  <c r="N52" i="4"/>
  <c r="N51" i="4"/>
  <c r="N50" i="4"/>
  <c r="N58" i="4"/>
  <c r="N56" i="4"/>
  <c r="K32" i="1"/>
  <c r="M72" i="4"/>
  <c r="L72" i="4"/>
  <c r="K72" i="4"/>
  <c r="I72" i="4"/>
  <c r="H72" i="4"/>
  <c r="G72" i="4"/>
  <c r="F72" i="4"/>
  <c r="E72" i="4"/>
  <c r="D72" i="4"/>
  <c r="M59" i="4"/>
  <c r="L59" i="4"/>
  <c r="K59" i="4"/>
  <c r="I59" i="4"/>
  <c r="H59" i="4"/>
  <c r="G59" i="4"/>
  <c r="F59" i="4"/>
  <c r="E59" i="4"/>
  <c r="D59" i="4"/>
  <c r="C59" i="4"/>
  <c r="B59" i="4"/>
  <c r="M47" i="4"/>
  <c r="L47" i="4"/>
  <c r="K47" i="4"/>
  <c r="I47" i="4"/>
  <c r="H47" i="4"/>
  <c r="G47" i="4"/>
  <c r="F47" i="4"/>
  <c r="E47" i="4"/>
  <c r="D47" i="4"/>
  <c r="C47" i="4"/>
  <c r="B47" i="4"/>
  <c r="C20" i="4"/>
  <c r="B20" i="4"/>
  <c r="B31" i="4" s="1"/>
  <c r="M29" i="4"/>
  <c r="L29" i="4"/>
  <c r="K29" i="4"/>
  <c r="I29" i="4"/>
  <c r="H29" i="4"/>
  <c r="G29" i="4"/>
  <c r="C29" i="4"/>
  <c r="B29" i="4"/>
  <c r="F29" i="4"/>
  <c r="E29" i="4"/>
  <c r="D29" i="4"/>
  <c r="M20" i="4"/>
  <c r="L20" i="4"/>
  <c r="K20" i="4"/>
  <c r="I20" i="4"/>
  <c r="H20" i="4"/>
  <c r="G20" i="4"/>
  <c r="F20" i="4"/>
  <c r="E20" i="4"/>
  <c r="D20" i="4"/>
  <c r="C6" i="6"/>
  <c r="B6" i="6"/>
  <c r="F6" i="6"/>
  <c r="E6" i="6"/>
  <c r="I6" i="6"/>
  <c r="H6" i="6"/>
  <c r="N40" i="4"/>
  <c r="C20" i="3"/>
  <c r="K24" i="1" s="1"/>
  <c r="C14" i="3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71" i="4"/>
  <c r="N70" i="4"/>
  <c r="N69" i="4"/>
  <c r="N68" i="4"/>
  <c r="N67" i="4"/>
  <c r="N66" i="4"/>
  <c r="N63" i="4"/>
  <c r="N62" i="4"/>
  <c r="N43" i="4"/>
  <c r="N41" i="4"/>
  <c r="N39" i="4"/>
  <c r="N38" i="4"/>
  <c r="N37" i="4"/>
  <c r="N35" i="4"/>
  <c r="N24" i="4"/>
  <c r="N23" i="4"/>
  <c r="N29" i="4" s="1"/>
  <c r="J19" i="2"/>
  <c r="L19" i="2"/>
  <c r="N19" i="2"/>
  <c r="P19" i="2"/>
  <c r="R19" i="2"/>
  <c r="L32" i="1"/>
  <c r="M32" i="1"/>
  <c r="N32" i="1"/>
  <c r="O32" i="1"/>
  <c r="P32" i="1"/>
  <c r="Q32" i="1"/>
  <c r="R32" i="1"/>
  <c r="S32" i="1"/>
  <c r="T32" i="1"/>
  <c r="U32" i="1"/>
  <c r="V32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I14" i="2"/>
  <c r="J14" i="2"/>
  <c r="L14" i="2"/>
  <c r="K14" i="2"/>
  <c r="P74" i="4" l="1"/>
  <c r="S9" i="2"/>
  <c r="S15" i="2"/>
  <c r="S20" i="2"/>
  <c r="D20" i="3"/>
  <c r="L24" i="1" s="1"/>
  <c r="H13" i="2" s="1"/>
  <c r="D14" i="3"/>
  <c r="J51" i="1"/>
  <c r="S14" i="2"/>
  <c r="S16" i="2"/>
  <c r="S18" i="2"/>
  <c r="S19" i="2"/>
  <c r="S24" i="2"/>
  <c r="J36" i="1"/>
  <c r="G31" i="2"/>
  <c r="E20" i="3"/>
  <c r="F20" i="3" s="1"/>
  <c r="N24" i="1" s="1"/>
  <c r="G13" i="2"/>
  <c r="H31" i="4"/>
  <c r="G31" i="4"/>
  <c r="F31" i="4"/>
  <c r="E31" i="4"/>
  <c r="D31" i="4"/>
  <c r="C31" i="4"/>
  <c r="N72" i="4"/>
  <c r="E74" i="4"/>
  <c r="F24" i="3" s="1"/>
  <c r="G74" i="4"/>
  <c r="I25" i="3" s="1"/>
  <c r="D74" i="4"/>
  <c r="F25" i="3" s="1"/>
  <c r="C74" i="4"/>
  <c r="D24" i="3" s="1"/>
  <c r="N59" i="4"/>
  <c r="H74" i="4"/>
  <c r="I24" i="3" s="1"/>
  <c r="I74" i="4"/>
  <c r="K25" i="3" s="1"/>
  <c r="J74" i="4"/>
  <c r="L25" i="3" s="1"/>
  <c r="K74" i="4"/>
  <c r="M25" i="3" s="1"/>
  <c r="L74" i="4"/>
  <c r="N25" i="3" s="1"/>
  <c r="M74" i="4"/>
  <c r="N24" i="3" s="1"/>
  <c r="F74" i="4"/>
  <c r="B74" i="4"/>
  <c r="B77" i="4" s="1"/>
  <c r="G7" i="2" s="1"/>
  <c r="N47" i="4"/>
  <c r="G25" i="3"/>
  <c r="J31" i="4"/>
  <c r="I31" i="4"/>
  <c r="K31" i="4"/>
  <c r="L31" i="4"/>
  <c r="M31" i="4"/>
  <c r="N20" i="4"/>
  <c r="N31" i="4" s="1"/>
  <c r="K23" i="1"/>
  <c r="D71" i="5"/>
  <c r="F71" i="5"/>
  <c r="N53" i="5"/>
  <c r="L71" i="5"/>
  <c r="I71" i="5"/>
  <c r="N41" i="5"/>
  <c r="J68" i="5"/>
  <c r="K71" i="5"/>
  <c r="E25" i="5"/>
  <c r="E71" i="5" s="1"/>
  <c r="H25" i="5"/>
  <c r="H71" i="5" s="1"/>
  <c r="C25" i="5"/>
  <c r="C71" i="5" s="1"/>
  <c r="J71" i="5"/>
  <c r="N68" i="5"/>
  <c r="J53" i="1" l="1"/>
  <c r="E14" i="3"/>
  <c r="L22" i="1"/>
  <c r="G20" i="3"/>
  <c r="O24" i="1" s="1"/>
  <c r="K13" i="2" s="1"/>
  <c r="M24" i="1"/>
  <c r="J13" i="2" s="1"/>
  <c r="F77" i="4"/>
  <c r="K7" i="2" s="1"/>
  <c r="E77" i="4"/>
  <c r="J7" i="2" s="1"/>
  <c r="C77" i="4"/>
  <c r="H7" i="2" s="1"/>
  <c r="I77" i="4"/>
  <c r="N7" i="2" s="1"/>
  <c r="H77" i="4"/>
  <c r="M7" i="2" s="1"/>
  <c r="H24" i="3"/>
  <c r="G77" i="4"/>
  <c r="L7" i="2" s="1"/>
  <c r="E25" i="3"/>
  <c r="E24" i="3"/>
  <c r="D77" i="4"/>
  <c r="I7" i="2" s="1"/>
  <c r="J24" i="3"/>
  <c r="K24" i="3"/>
  <c r="N74" i="4"/>
  <c r="N77" i="4" s="1"/>
  <c r="M77" i="4"/>
  <c r="R7" i="2" s="1"/>
  <c r="L77" i="4"/>
  <c r="Q7" i="2" s="1"/>
  <c r="K77" i="4"/>
  <c r="P7" i="2" s="1"/>
  <c r="J77" i="4"/>
  <c r="O7" i="2" s="1"/>
  <c r="M24" i="3"/>
  <c r="J25" i="3"/>
  <c r="L24" i="3"/>
  <c r="D25" i="3"/>
  <c r="C24" i="3"/>
  <c r="C26" i="3" s="1"/>
  <c r="D23" i="3" s="1"/>
  <c r="H25" i="3"/>
  <c r="G24" i="3"/>
  <c r="K49" i="1"/>
  <c r="L23" i="1"/>
  <c r="G12" i="2"/>
  <c r="N25" i="5"/>
  <c r="N71" i="5"/>
  <c r="H12" i="2" l="1"/>
  <c r="M22" i="1"/>
  <c r="F14" i="3"/>
  <c r="H20" i="3"/>
  <c r="P24" i="1" s="1"/>
  <c r="I13" i="2"/>
  <c r="L49" i="1"/>
  <c r="M49" i="1" s="1"/>
  <c r="K50" i="1"/>
  <c r="S7" i="2"/>
  <c r="D26" i="3"/>
  <c r="E23" i="3" s="1"/>
  <c r="E26" i="3" s="1"/>
  <c r="M40" i="1" s="1"/>
  <c r="M46" i="1" s="1"/>
  <c r="K40" i="1"/>
  <c r="K46" i="1" s="1"/>
  <c r="M23" i="1"/>
  <c r="I12" i="2" l="1"/>
  <c r="N22" i="1"/>
  <c r="G14" i="3"/>
  <c r="I20" i="3"/>
  <c r="J20" i="3" s="1"/>
  <c r="L13" i="2"/>
  <c r="K51" i="1"/>
  <c r="L50" i="1"/>
  <c r="F23" i="3"/>
  <c r="F26" i="3" s="1"/>
  <c r="G23" i="3" s="1"/>
  <c r="G26" i="3" s="1"/>
  <c r="L40" i="1"/>
  <c r="L46" i="1" s="1"/>
  <c r="G17" i="2"/>
  <c r="G21" i="2" s="1"/>
  <c r="G29" i="2" s="1"/>
  <c r="N49" i="1"/>
  <c r="M50" i="1"/>
  <c r="N23" i="1"/>
  <c r="J12" i="2" l="1"/>
  <c r="O22" i="1"/>
  <c r="H14" i="3"/>
  <c r="Q24" i="1"/>
  <c r="M13" i="2" s="1"/>
  <c r="R24" i="1"/>
  <c r="K20" i="3"/>
  <c r="L51" i="1"/>
  <c r="I17" i="2"/>
  <c r="I21" i="2" s="1"/>
  <c r="I29" i="2" s="1"/>
  <c r="N40" i="1"/>
  <c r="H17" i="2"/>
  <c r="H21" i="2" s="1"/>
  <c r="H29" i="2" s="1"/>
  <c r="M51" i="1"/>
  <c r="O40" i="1"/>
  <c r="O46" i="1" s="1"/>
  <c r="H23" i="3"/>
  <c r="H26" i="3" s="1"/>
  <c r="N50" i="1"/>
  <c r="O49" i="1"/>
  <c r="G33" i="2"/>
  <c r="O23" i="1"/>
  <c r="J17" i="2" l="1"/>
  <c r="J21" i="2" s="1"/>
  <c r="J29" i="2" s="1"/>
  <c r="N46" i="1"/>
  <c r="N51" i="1" s="1"/>
  <c r="K12" i="2"/>
  <c r="I14" i="3"/>
  <c r="P22" i="1"/>
  <c r="L20" i="3"/>
  <c r="S24" i="1"/>
  <c r="O13" i="2" s="1"/>
  <c r="N13" i="2"/>
  <c r="I23" i="3"/>
  <c r="I26" i="3" s="1"/>
  <c r="P40" i="1"/>
  <c r="P46" i="1" s="1"/>
  <c r="K17" i="2"/>
  <c r="O50" i="1"/>
  <c r="P49" i="1"/>
  <c r="P23" i="1"/>
  <c r="K21" i="1"/>
  <c r="K20" i="1" s="1"/>
  <c r="K21" i="2" l="1"/>
  <c r="K29" i="2" s="1"/>
  <c r="J14" i="3"/>
  <c r="Q22" i="1"/>
  <c r="M20" i="3"/>
  <c r="T24" i="1"/>
  <c r="G35" i="2"/>
  <c r="O51" i="1"/>
  <c r="L17" i="2"/>
  <c r="J23" i="3"/>
  <c r="J26" i="3" s="1"/>
  <c r="Q40" i="1"/>
  <c r="Q46" i="1" s="1"/>
  <c r="Q49" i="1"/>
  <c r="P50" i="1"/>
  <c r="Q23" i="1"/>
  <c r="K27" i="1"/>
  <c r="K36" i="1" s="1"/>
  <c r="K53" i="1" s="1"/>
  <c r="H31" i="2"/>
  <c r="H33" i="2" s="1"/>
  <c r="L12" i="2"/>
  <c r="K14" i="3" l="1"/>
  <c r="R22" i="1"/>
  <c r="N20" i="3"/>
  <c r="V24" i="1" s="1"/>
  <c r="U24" i="1"/>
  <c r="P13" i="2"/>
  <c r="P51" i="1"/>
  <c r="M17" i="2"/>
  <c r="K23" i="3"/>
  <c r="K26" i="3" s="1"/>
  <c r="R40" i="1"/>
  <c r="R46" i="1" s="1"/>
  <c r="Q50" i="1"/>
  <c r="R49" i="1"/>
  <c r="L21" i="2"/>
  <c r="L21" i="1"/>
  <c r="H35" i="2" s="1"/>
  <c r="R23" i="1"/>
  <c r="M12" i="2"/>
  <c r="M21" i="2" l="1"/>
  <c r="M29" i="2" s="1"/>
  <c r="N12" i="2"/>
  <c r="S22" i="1"/>
  <c r="L14" i="3"/>
  <c r="R13" i="2"/>
  <c r="Q13" i="2"/>
  <c r="Q51" i="1"/>
  <c r="N17" i="2"/>
  <c r="L23" i="3"/>
  <c r="L26" i="3" s="1"/>
  <c r="S40" i="1"/>
  <c r="S46" i="1" s="1"/>
  <c r="S49" i="1"/>
  <c r="R50" i="1"/>
  <c r="S23" i="1"/>
  <c r="L20" i="1"/>
  <c r="I31" i="2"/>
  <c r="I33" i="2" s="1"/>
  <c r="L27" i="1"/>
  <c r="L36" i="1" s="1"/>
  <c r="L53" i="1" s="1"/>
  <c r="L29" i="2"/>
  <c r="N21" i="2" l="1"/>
  <c r="N29" i="2" s="1"/>
  <c r="T22" i="1"/>
  <c r="M14" i="3"/>
  <c r="S13" i="2"/>
  <c r="R51" i="1"/>
  <c r="O17" i="2"/>
  <c r="M23" i="3"/>
  <c r="M26" i="3" s="1"/>
  <c r="T40" i="1"/>
  <c r="T46" i="1" s="1"/>
  <c r="T49" i="1"/>
  <c r="S50" i="1"/>
  <c r="T23" i="1"/>
  <c r="O12" i="2"/>
  <c r="M21" i="1"/>
  <c r="I35" i="2" s="1"/>
  <c r="N14" i="3" l="1"/>
  <c r="V22" i="1" s="1"/>
  <c r="U22" i="1"/>
  <c r="S51" i="1"/>
  <c r="P17" i="2"/>
  <c r="U40" i="1"/>
  <c r="U46" i="1" s="1"/>
  <c r="N23" i="3"/>
  <c r="N26" i="3" s="1"/>
  <c r="V40" i="1" s="1"/>
  <c r="V46" i="1" s="1"/>
  <c r="T50" i="1"/>
  <c r="U49" i="1"/>
  <c r="O21" i="2"/>
  <c r="M20" i="1"/>
  <c r="M27" i="1"/>
  <c r="M36" i="1" s="1"/>
  <c r="M53" i="1" s="1"/>
  <c r="J31" i="2"/>
  <c r="J33" i="2" s="1"/>
  <c r="V23" i="1"/>
  <c r="U23" i="1"/>
  <c r="P12" i="2"/>
  <c r="P21" i="2" l="1"/>
  <c r="P29" i="2" s="1"/>
  <c r="T51" i="1"/>
  <c r="R17" i="2"/>
  <c r="Q17" i="2"/>
  <c r="V49" i="1"/>
  <c r="V50" i="1" s="1"/>
  <c r="U50" i="1"/>
  <c r="R12" i="2"/>
  <c r="Q12" i="2"/>
  <c r="N21" i="1"/>
  <c r="O29" i="2"/>
  <c r="Q21" i="2" l="1"/>
  <c r="Q29" i="2" s="1"/>
  <c r="R21" i="2"/>
  <c r="R29" i="2" s="1"/>
  <c r="U51" i="1"/>
  <c r="V51" i="1"/>
  <c r="S17" i="2"/>
  <c r="S12" i="2"/>
  <c r="N20" i="1"/>
  <c r="K31" i="2"/>
  <c r="K33" i="2" s="1"/>
  <c r="N27" i="1"/>
  <c r="N36" i="1" s="1"/>
  <c r="N53" i="1" s="1"/>
  <c r="J35" i="2"/>
  <c r="S29" i="2" l="1"/>
  <c r="S21" i="2"/>
  <c r="O21" i="1"/>
  <c r="K35" i="2" s="1"/>
  <c r="L31" i="2" l="1"/>
  <c r="L33" i="2" s="1"/>
  <c r="O27" i="1"/>
  <c r="O36" i="1" s="1"/>
  <c r="O53" i="1" s="1"/>
  <c r="O20" i="1"/>
  <c r="P21" i="1" l="1"/>
  <c r="L35" i="2" s="1"/>
  <c r="P20" i="1" l="1"/>
  <c r="P27" i="1"/>
  <c r="P36" i="1" s="1"/>
  <c r="P53" i="1" s="1"/>
  <c r="M31" i="2"/>
  <c r="M33" i="2" s="1"/>
  <c r="Q21" i="1" l="1"/>
  <c r="Q20" i="1" l="1"/>
  <c r="N31" i="2"/>
  <c r="N33" i="2" s="1"/>
  <c r="Q27" i="1"/>
  <c r="Q36" i="1" s="1"/>
  <c r="Q53" i="1" s="1"/>
  <c r="M35" i="2"/>
  <c r="R21" i="1" l="1"/>
  <c r="N35" i="2" s="1"/>
  <c r="R20" i="1" l="1"/>
  <c r="O31" i="2"/>
  <c r="O33" i="2" s="1"/>
  <c r="R27" i="1"/>
  <c r="R36" i="1" s="1"/>
  <c r="R53" i="1" s="1"/>
  <c r="S21" i="1" l="1"/>
  <c r="S27" i="1" l="1"/>
  <c r="S36" i="1" s="1"/>
  <c r="S53" i="1" s="1"/>
  <c r="S20" i="1"/>
  <c r="P31" i="2"/>
  <c r="P33" i="2" s="1"/>
  <c r="O35" i="2"/>
  <c r="T21" i="1" l="1"/>
  <c r="P35" i="2" s="1"/>
  <c r="T20" i="1" l="1"/>
  <c r="T27" i="1"/>
  <c r="T36" i="1" s="1"/>
  <c r="T53" i="1" s="1"/>
  <c r="Q31" i="2"/>
  <c r="Q33" i="2" s="1"/>
  <c r="U21" i="1" l="1"/>
  <c r="U20" i="1" l="1"/>
  <c r="R31" i="2"/>
  <c r="R33" i="2" s="1"/>
  <c r="U27" i="1"/>
  <c r="U36" i="1" s="1"/>
  <c r="U53" i="1" s="1"/>
  <c r="Q35" i="2"/>
  <c r="V21" i="1" l="1"/>
  <c r="R35" i="2" s="1"/>
  <c r="V20" i="1" l="1"/>
  <c r="V27" i="1"/>
  <c r="V36" i="1" s="1"/>
  <c r="V5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gross ($35,000 net)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$675/mo sustaining membership revenue</t>
        </r>
      </text>
    </comment>
    <comment ref="N15" authorId="0" shapeId="0" xr:uid="{9D779F0C-2E0A-4E88-B308-733CFEABF8C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N16" authorId="0" shapeId="0" xr:uid="{FD3CE8DE-D825-4BD1-817F-98BDCEDA0E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 Cooperative agreements</t>
        </r>
      </text>
    </comment>
    <comment ref="N24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expense (35,000 net)</t>
        </r>
      </text>
    </comment>
    <comment ref="F52" authorId="0" shapeId="0" xr:uid="{70951467-B400-44ED-8F23-D7AA6FA99E6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includes $756 for 7 MS Office annual licenses</t>
        </r>
      </text>
    </comment>
    <comment ref="N54" authorId="0" shapeId="0" xr:uid="{6267A50D-3266-4089-91F5-F693A19F2E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PLE, LYR</t>
        </r>
      </text>
    </comment>
    <comment ref="B58" authorId="0" shapeId="0" xr:uid="{83FA9853-BE85-4E63-8827-F80827EA58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Kleefisch Consulting - lobbyist</t>
        </r>
      </text>
    </comment>
    <comment ref="C58" authorId="0" shapeId="0" xr:uid="{718A6CB7-99CC-490B-A4E0-682EFF8422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Kleefisch Consulting - lobbyist</t>
        </r>
      </text>
    </comment>
    <comment ref="K58" authorId="0" shapeId="0" xr:uid="{241ABF83-BE66-4375-BAAE-D4529E3A4B64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$3500 Constant Contact renewal</t>
        </r>
      </text>
    </comment>
    <comment ref="D69" authorId="0" shapeId="0" xr:uid="{A84A2257-E909-4D71-BFC6-85848CADA41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Progress billing FY25 reports</t>
        </r>
      </text>
    </comment>
    <comment ref="E69" authorId="0" shapeId="0" xr:uid="{52D3F721-AF89-4E24-BF0F-71B3A1D2EE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Progress billing FY25 reports</t>
        </r>
      </text>
    </comment>
    <comment ref="K69" authorId="0" shapeId="0" xr:uid="{8F0FD391-0403-4434-85F8-CE10D7C63629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FY25 990</t>
        </r>
      </text>
    </comment>
    <comment ref="N71" authorId="0" shapeId="0" xr:uid="{3BF3FDFB-DF80-49F2-A19C-5642495EB9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GGBCF loss/gain based off avg of FY25 #s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48329CE1-825E-4B19-8CAF-2A752302D9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J13" authorId="1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0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S17" authorId="0" shapeId="0" xr:uid="{67258C10-ABB4-4CA7-BABE-A89196C1DBF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Reflects transfer of $105,000 EXPO budgeted net to state unrestricted account</t>
        </r>
      </text>
    </comment>
    <comment ref="J22" authorId="0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5" authorId="0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2027 calendar printing</t>
        </r>
      </text>
    </comment>
    <comment ref="J26" authorId="0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41" authorId="1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expenses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B4" authorId="0" shapeId="0" xr:uid="{85F68A96-62C0-4C19-A31D-7977E2E8462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$19,481.76 DS FY24, </t>
        </r>
      </text>
    </comment>
    <comment ref="B5" authorId="0" shapeId="0" xr:uid="{07FF635F-1F05-4C9B-8698-2381024C78D9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$7905.33 PLE</t>
        </r>
      </text>
    </comment>
    <comment ref="C25" authorId="1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5" authorId="0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5" authorId="1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0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E10" authorId="0" shapeId="0" xr:uid="{04BA9CD5-DA70-42A1-91D9-071B3437F67F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BD = $1400
</t>
        </r>
        <r>
          <rPr>
            <sz val="10"/>
            <color rgb="FF000000"/>
            <rFont val="Tahoma"/>
            <family val="2"/>
          </rPr>
          <t xml:space="preserve">Venue = $2500
</t>
        </r>
      </text>
    </comment>
    <comment ref="G10" authorId="0" shapeId="0" xr:uid="{723EFD6C-40BE-450A-9B72-B174AB0F0186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$1400 = BD
</t>
        </r>
        <r>
          <rPr>
            <sz val="10"/>
            <color rgb="FF000000"/>
            <rFont val="Tahoma"/>
            <family val="2"/>
          </rPr>
          <t>$30000 = tent deposit</t>
        </r>
      </text>
    </comment>
    <comment ref="I10" authorId="0" shapeId="0" xr:uid="{38F344F7-8001-489F-A41A-67FD5CB2E259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1"/>
            <color rgb="FF000000"/>
            <rFont val="Tahoma"/>
            <family val="2"/>
          </rPr>
          <t xml:space="preserve">1400 = Bast Durbin Vnedor Management services +$2500 venue rental payment </t>
        </r>
      </text>
    </comment>
    <comment ref="J10" authorId="0" shapeId="0" xr:uid="{FAD92EB7-12FC-435E-A079-1AA20E021B6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1400 Bast Durbin vendor managemnet + $3000 for insurance</t>
        </r>
      </text>
    </comment>
    <comment ref="K10" authorId="0" shapeId="0" xr:uid="{D4EFACB7-70A2-4F57-8573-0E2126E351E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 1400 BD payment
</t>
        </r>
        <r>
          <rPr>
            <sz val="10"/>
            <color rgb="FF000000"/>
            <rFont val="Tahoma"/>
            <family val="2"/>
          </rPr>
          <t xml:space="preserve">1000 = Beer 
</t>
        </r>
        <r>
          <rPr>
            <sz val="10"/>
            <color rgb="FF000000"/>
            <rFont val="Tahoma"/>
            <family val="2"/>
          </rPr>
          <t xml:space="preserve">2500 = tent final payment
</t>
        </r>
        <r>
          <rPr>
            <sz val="10"/>
            <color rgb="FF000000"/>
            <rFont val="Tahoma"/>
            <family val="2"/>
          </rPr>
          <t xml:space="preserve"> 2000 r= ental gear (electronic sign, ipads, radios</t>
        </r>
      </text>
    </comment>
    <comment ref="L10" authorId="0" shapeId="0" xr:uid="{47FC3EA3-A52E-4241-9FFE-63BBDE99CDE8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1400 BD payment + $5000 venue closeout</t>
        </r>
      </text>
    </comment>
    <comment ref="J12" authorId="0" shapeId="0" xr:uid="{06AF5E7A-1281-4E27-8566-6D6E4A06577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$2000 shooting venue</t>
        </r>
      </text>
    </comment>
    <comment ref="K12" authorId="0" shapeId="0" xr:uid="{C229D1AF-ECD4-4FF9-8B47-EA0D2AED57DA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$000 calling contest$500
</t>
        </r>
        <r>
          <rPr>
            <sz val="10"/>
            <color rgb="FF000000"/>
            <rFont val="Tahoma"/>
            <family val="2"/>
          </rPr>
          <t>Dog prizes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Microsoft Office User</author>
  </authors>
  <commentList>
    <comment ref="G10" authorId="0" shapeId="0" xr:uid="{188FB213-3F79-4152-B29F-3F3144A0F38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$5k for grant software expense</t>
        </r>
      </text>
    </comment>
    <comment ref="C13" authorId="1" shapeId="0" xr:uid="{E2B1C903-F10F-47A6-A312-7869FBFB1EF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estimated</t>
        </r>
      </text>
    </comment>
    <comment ref="I13" authorId="1" shapeId="0" xr:uid="{71F9FA85-8528-42B6-B890-1BD2DE3B4EB4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This is the closeout of original PLE funding from FFLM</t>
        </r>
      </text>
    </comment>
    <comment ref="P13" authorId="1" shapeId="0" xr:uid="{55884500-2B9D-4BA6-A8AA-A36202433992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This is to close out theJackson Marsh Project</t>
        </r>
      </text>
    </comment>
    <comment ref="D18" authorId="1" shapeId="0" xr:uid="{A6EB3D60-99FB-4D31-B51E-857AB239A4FD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As of 10/8/2025, we have expended $6806.52</t>
        </r>
      </text>
    </comment>
    <comment ref="E18" authorId="1" shapeId="0" xr:uid="{7C643E49-1C3E-4109-A3D6-382BCC3F8EC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The match has been met akready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2" authorId="0" shapeId="0" xr:uid="{C7397F54-7785-4F4F-B346-355EBA7B8C1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Raised to industry standard plan</t>
        </r>
      </text>
    </comment>
    <comment ref="B3" authorId="0" shapeId="0" xr:uid="{62EE3016-3CD3-4F30-AE78-21F871AA43A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increase per employment offer</t>
        </r>
      </text>
    </comment>
    <comment ref="B4" authorId="0" shapeId="0" xr:uid="{715BD80B-E31E-4796-A82B-499FFB4AA5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Through March 31</t>
        </r>
      </text>
    </comment>
    <comment ref="G5" authorId="0" shapeId="0" xr:uid="{0E5437F2-1302-4328-9104-AE617AC6638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Breakdown into development after 4/1</t>
        </r>
      </text>
    </comment>
    <comment ref="J5" authorId="0" shapeId="0" xr:uid="{9585688B-4C7D-4669-B68C-2E55FC617C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Breakdown into development after 4/1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I5" authorId="0" shapeId="0" xr:uid="{C28DA1D4-A973-42C6-83C3-D5496F9EC29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$2800 EXPO memberships?</t>
        </r>
      </text>
    </comment>
    <comment ref="B7" authorId="0" shapeId="0" xr:uid="{6A7462B3-E57F-4526-B8C5-D732BB1C409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Qtr 4.2024 $3500 reimbursement</t>
        </r>
      </text>
    </comment>
    <comment ref="E7" authorId="0" shapeId="0" xr:uid="{D8845136-0612-4E7A-9F2C-6727059905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19,160</t>
        </r>
      </text>
    </comment>
    <comment ref="H7" authorId="0" shapeId="0" xr:uid="{4E69BBA7-23BF-405B-8FDD-4ADA9D78DC0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K7" authorId="0" shapeId="0" xr:uid="{40F0969D-6C6A-4FB9-A7BB-399C1AB8E62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L7" authorId="0" shapeId="0" xr:uid="{9B7FD780-E9EA-45B4-AEDD-14A76894132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M7" authorId="0" shapeId="0" xr:uid="{776156AE-515C-4F25-8261-23597D19F70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B8" authorId="0" shapeId="0" xr:uid="{6E631454-F840-4D04-8BBC-64CAD8D376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2250, LYR 3000</t>
        </r>
      </text>
    </comment>
    <comment ref="C8" authorId="0" shapeId="0" xr:uid="{FEF9F1EC-FB5F-44A7-8B0B-3D79020C93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4170, LYR 85,670</t>
        </r>
      </text>
    </comment>
    <comment ref="D8" authorId="0" shapeId="0" xr:uid="{2DA962B1-9A24-45E8-BFFB-FF5926D81E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6385, LYR 87,670</t>
        </r>
      </text>
    </comment>
    <comment ref="E8" authorId="0" shapeId="0" xr:uid="{773A5DD6-4BEE-42A4-92D7-6F96C63E5A5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5200, LYR 85,670</t>
        </r>
      </text>
    </comment>
    <comment ref="F8" authorId="0" shapeId="0" xr:uid="{C6A4F260-1499-4D98-AA9B-7C4A34DD9F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3920, LYR 3000</t>
        </r>
      </text>
    </comment>
    <comment ref="G8" authorId="0" shapeId="0" xr:uid="{008E88D6-B059-45E0-A2C4-AA929D657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2600, LYR 3000</t>
        </r>
      </text>
    </comment>
    <comment ref="H8" authorId="0" shapeId="0" xr:uid="{A34EE6F3-99C0-4EB2-9C4C-316A6208D9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2425, LYR 3000
</t>
        </r>
      </text>
    </comment>
    <comment ref="I8" authorId="0" shapeId="0" xr:uid="{A65E9FA8-FBE0-4A6C-A849-F260B19586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5000</t>
        </r>
      </text>
    </comment>
    <comment ref="J8" authorId="0" shapeId="0" xr:uid="{16478420-2A34-4C10-AA3E-A91AD18B3B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2380, LYR 3000</t>
        </r>
      </text>
    </comment>
    <comment ref="K8" authorId="0" shapeId="0" xr:uid="{78EB2266-BA38-4C95-AF33-106D5076B1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L8" authorId="0" shapeId="0" xr:uid="{E3E0EC4A-CA58-4A5D-B9E8-8A5B66A003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M8" authorId="0" shapeId="0" xr:uid="{C56BD62F-0531-450A-AECF-D0A8B8BD7A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C29" authorId="0" shapeId="0" xr:uid="{4874AFBB-A51F-42FE-B0CB-C27905A4E6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Monette $1000 bonus</t>
        </r>
      </text>
    </comment>
    <comment ref="B33" authorId="0" shapeId="0" xr:uid="{DF10AF74-B685-4FAC-BA92-52A4C626FA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'24 sponsor gifts</t>
        </r>
      </text>
    </comment>
    <comment ref="C40" authorId="0" shapeId="0" xr:uid="{05D5ED79-947D-49FA-A7A3-2B8A3BCE6AD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Seibert</t>
        </r>
      </text>
    </comment>
    <comment ref="C44" authorId="0" shapeId="0" xr:uid="{6BD4F592-D8CA-4219-B567-2C123CC9DD4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Boettcher $4k bonus, Ross $3k bonus</t>
        </r>
      </text>
    </comment>
    <comment ref="C47" authorId="0" shapeId="0" xr:uid="{0CA99F24-56D1-4274-BFB0-9DC3D6D4D7F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HRP/Ziegler $2500 bonus, Rzchowski $2500 bonus billed to NRCS</t>
        </r>
      </text>
    </comment>
    <comment ref="B48" authorId="0" shapeId="0" xr:uid="{A569893C-6B76-43D6-9AB8-AA942AF47C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3140, LYR 3000</t>
        </r>
      </text>
    </comment>
    <comment ref="C48" authorId="0" shapeId="0" xr:uid="{23150592-D135-4F9A-A783-A4003604F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5475, LYR 85,670, Pfost $1500 bonus billed to LYR</t>
        </r>
      </text>
    </comment>
    <comment ref="D48" authorId="0" shapeId="0" xr:uid="{C17B6FA7-B019-4FBD-B8F0-AF86E85FFD1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5050, LYR 87,670</t>
        </r>
      </text>
    </comment>
    <comment ref="E48" authorId="0" shapeId="0" xr:uid="{C4D78CEB-5D46-4C71-93F5-110F05BA91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6230, LYR 85,670</t>
        </r>
      </text>
    </comment>
    <comment ref="F48" authorId="0" shapeId="0" xr:uid="{1866A660-D5B0-4294-89A0-F2A19330B4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4575, LYR 3000</t>
        </r>
      </text>
    </comment>
    <comment ref="G48" authorId="0" shapeId="0" xr:uid="{5FD3B050-D7D2-46C1-B215-D4EA61FCB9D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3125, LYR 3000</t>
        </r>
      </text>
    </comment>
    <comment ref="H48" authorId="0" shapeId="0" xr:uid="{9EB8CC31-95FC-4990-A816-ECCF4044CC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4235, LYR 5000</t>
        </r>
      </text>
    </comment>
    <comment ref="I48" authorId="0" shapeId="0" xr:uid="{88C943B9-4997-4FE3-9A4B-9B1467EFD67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2925, LYR 3000</t>
        </r>
      </text>
    </comment>
    <comment ref="J48" authorId="0" shapeId="0" xr:uid="{D7BBE057-0B22-47E6-B965-7DFD48FC71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3000, LYR 3000</t>
        </r>
      </text>
    </comment>
    <comment ref="K48" authorId="0" shapeId="0" xr:uid="{15CED206-24EF-4F7A-A981-804B249BA3B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L48" authorId="0" shapeId="0" xr:uid="{B3D0DFF8-DB94-4B5E-B7B8-6122957357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M48" authorId="0" shapeId="0" xr:uid="{E32E958E-59BD-4F60-9C2C-4A7B814A679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B52" authorId="0" shapeId="0" xr:uid="{8652E682-CF32-4717-B489-D8333E617C5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Final web payment</t>
        </r>
      </text>
    </comment>
    <comment ref="C63" authorId="0" shapeId="0" xr:uid="{47A0378F-8941-41F1-8BB2-02DD1956F8E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$2100 progress billing FY24 reports</t>
        </r>
      </text>
    </comment>
    <comment ref="D63" authorId="0" shapeId="0" xr:uid="{6799F369-C8D9-4521-A0D3-23F54AD62C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progress billing FY24 reports</t>
        </r>
      </text>
    </comment>
    <comment ref="E63" authorId="0" shapeId="0" xr:uid="{8EB9BBC8-9061-40B9-BA7A-C794C99E52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Progress billing LYR audit prep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<sst xmlns="http://schemas.openxmlformats.org/spreadsheetml/2006/main" count="473" uniqueCount="284">
  <si>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</si>
  <si>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</si>
  <si>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</si>
  <si>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</si>
  <si>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</si>
  <si>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</si>
  <si>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</si>
  <si>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</si>
  <si>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</si>
  <si>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</si>
  <si>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</si>
  <si>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</si>
  <si>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</si>
  <si>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</si>
  <si>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</si>
  <si>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</si>
  <si>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</si>
  <si>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</si>
  <si>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</si>
  <si>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</si>
  <si>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</si>
  <si>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</si>
  <si>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</si>
  <si>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</si>
  <si>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</si>
  <si>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</si>
  <si>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</si>
  <si>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</si>
  <si>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</si>
  <si>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</si>
  <si>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</si>
  <si>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</si>
  <si>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</si>
  <si>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</si>
  <si>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</si>
  <si>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</si>
  <si>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</si>
  <si>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</si>
  <si>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</si>
  <si>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</si>
  <si>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</si>
  <si>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</si>
  <si>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</si>
  <si>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</si>
  <si>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</si>
  <si>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</si>
  <si>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</si>
  <si>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</si>
  <si>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</si>
  <si>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</si>
  <si>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</si>
  <si>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</si>
  <si>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</si>
  <si>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</si>
  <si>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</si>
  <si>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</si>
  <si>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</si>
  <si>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</si>
  <si>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</si>
  <si>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</si>
  <si>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</si>
  <si>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</si>
  <si>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</si>
  <si>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</si>
  <si>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</si>
  <si>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</si>
  <si>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</si>
  <si>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</si>
  <si>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</si>
  <si>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</si>
  <si>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</si>
  <si>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</si>
  <si>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</si>
  <si>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</si>
  <si>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</si>
  <si>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</si>
  <si>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</si>
  <si>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</si>
  <si>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</si>
  <si>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</si>
  <si>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</si>
  <si>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</si>
  <si>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</si>
  <si>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</si>
  <si>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</si>
  <si>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</si>
  <si>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</si>
  <si>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</si>
  <si>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</si>
  <si>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</si>
  <si>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</si>
  <si>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</si>
  <si>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</si>
  <si>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</si>
  <si>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</si>
  <si>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</si>
  <si>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</si>
  <si>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</si>
  <si>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</si>
  <si>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</si>
  <si>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</si>
  <si>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</si>
  <si>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</si>
  <si>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</si>
  <si>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</si>
  <si>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</si>
  <si>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</si>
  <si>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</si>
  <si>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</si>
  <si>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</si>
  <si>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</si>
  <si>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</si>
  <si>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</si>
  <si>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</si>
  <si>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</si>
  <si>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</si>
  <si>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</si>
  <si>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Education</t>
  </si>
  <si>
    <t>Abrams restricted</t>
  </si>
  <si>
    <t>Program Services: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</si>
  <si>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</si>
  <si>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</si>
  <si>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</si>
  <si>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</si>
  <si>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</si>
  <si>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</si>
  <si>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</si>
  <si>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</si>
  <si>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EXPO restricted</t>
  </si>
  <si>
    <t>EXPO</t>
  </si>
  <si>
    <t>EXPO revenue</t>
  </si>
  <si>
    <t>Chapter Loan restricted</t>
  </si>
  <si>
    <t>Raffle restricted</t>
  </si>
  <si>
    <t xml:space="preserve"> </t>
  </si>
  <si>
    <t xml:space="preserve">AR Grant Payments </t>
  </si>
  <si>
    <t>PLE restricted</t>
  </si>
  <si>
    <t>NRCS</t>
  </si>
  <si>
    <t>USFWS  revenue</t>
  </si>
  <si>
    <t>Public Lands revenue</t>
  </si>
  <si>
    <t>Private Lands revenue</t>
  </si>
  <si>
    <t>Other Program Grant revenue</t>
  </si>
  <si>
    <t>Private Lands</t>
  </si>
  <si>
    <t>Public Lands</t>
  </si>
  <si>
    <t>USFWS</t>
  </si>
  <si>
    <t>Other Program Grants</t>
  </si>
  <si>
    <t>LYR</t>
  </si>
  <si>
    <t xml:space="preserve">Money Market </t>
  </si>
  <si>
    <t>Other Assets - Rent deposit</t>
  </si>
  <si>
    <t>Other Assets - Endowment Fund</t>
  </si>
  <si>
    <t>2026 Budget</t>
  </si>
  <si>
    <t xml:space="preserve">2026 Budget </t>
  </si>
  <si>
    <t>12.31.25</t>
  </si>
  <si>
    <t>GLRI</t>
  </si>
  <si>
    <t>2025 Actuals</t>
  </si>
  <si>
    <t>Plus Banquets - $3000 ea.</t>
  </si>
  <si>
    <t>Minus Inventory used - $3000 ea.</t>
  </si>
  <si>
    <t>Deferred Grant Revenue</t>
  </si>
  <si>
    <t>Banquets - $3000 ea.</t>
  </si>
  <si>
    <t>HABITAT</t>
  </si>
  <si>
    <t xml:space="preserve">$$ Awarded </t>
  </si>
  <si>
    <t xml:space="preserve">$$ Remaining </t>
  </si>
  <si>
    <t>$$ match required</t>
  </si>
  <si>
    <t>$$ match provided</t>
  </si>
  <si>
    <t>Jan</t>
  </si>
  <si>
    <t>Mar</t>
  </si>
  <si>
    <t>Apr</t>
  </si>
  <si>
    <t>Jun</t>
  </si>
  <si>
    <t>Jul</t>
  </si>
  <si>
    <t>Aug</t>
  </si>
  <si>
    <t>Sep</t>
  </si>
  <si>
    <t>TOTAL</t>
  </si>
  <si>
    <t>Fed?</t>
  </si>
  <si>
    <t>Notes</t>
  </si>
  <si>
    <t>Risk</t>
  </si>
  <si>
    <t>REVENUE</t>
  </si>
  <si>
    <t>x</t>
  </si>
  <si>
    <t>Duck stamp FY24- private lands</t>
  </si>
  <si>
    <t>No</t>
  </si>
  <si>
    <t>PZ says he'll spend this on projects--the total amount in March,  Nov/Dec</t>
  </si>
  <si>
    <t>Leopold Area</t>
  </si>
  <si>
    <t>Yes</t>
  </si>
  <si>
    <t>NAWCA Pines</t>
  </si>
  <si>
    <t>DNR PLE. (annual payment of $57,000)</t>
  </si>
  <si>
    <t>Projects?</t>
  </si>
  <si>
    <t>Includes Phase II in Jan and Feb, then Phase 3 in Dec</t>
  </si>
  <si>
    <t>CAN NOT ACCUMULATE OVER $1M IN FEDERAL FUNDS; Unlikely to spend much in Phase 3 in CY 2026</t>
  </si>
  <si>
    <t>duck stamp LYR</t>
  </si>
  <si>
    <t>Assumes some compensation (?)</t>
  </si>
  <si>
    <t xml:space="preserve">Assumes monthly reimbursement but could be quarterly. Projects - Poygan Deer Creek, Sheboygan Marsh, Ertmer </t>
  </si>
  <si>
    <t>FFLM</t>
  </si>
  <si>
    <t>FY24.25 Duck Stamp PLE remainders</t>
  </si>
  <si>
    <t>Available: $74800, but how to be used? Poygan?</t>
  </si>
  <si>
    <t>Duck stamp FY 26 PLE</t>
  </si>
  <si>
    <t>White River construction + Planning staff expense (Goose lake , Big Muskego)</t>
  </si>
  <si>
    <t>Duck Stamp FY 27 PLE</t>
  </si>
  <si>
    <t>Projects (Goose Lake - $40K) 2500 in staff planning for kettle morraine</t>
  </si>
  <si>
    <t>R3 Grant</t>
  </si>
  <si>
    <t>yes</t>
  </si>
  <si>
    <t>Final reimbursement for R3 program</t>
  </si>
  <si>
    <t>Partnership Phase IV (FY22)</t>
  </si>
  <si>
    <t xml:space="preserve">Note:estimates from WWA---USFWS spent $154K per year across all partnership grants--- in and out </t>
  </si>
  <si>
    <t>Partnership Phase V (FY23)</t>
  </si>
  <si>
    <t>Partnership Phase VI (FY24)</t>
  </si>
  <si>
    <t>Partnership Phase VII (FY25)</t>
  </si>
  <si>
    <t>Terrestrial invasives (FY25)</t>
  </si>
  <si>
    <t xml:space="preserve">new program, estimate only--should be in and out </t>
  </si>
  <si>
    <t>EXPENSES</t>
  </si>
  <si>
    <t>Private Lands rexpenses</t>
  </si>
  <si>
    <t>Admin/Grant Management/support</t>
  </si>
  <si>
    <t>Kelcy, Bruce and Brad private lands support effort</t>
  </si>
  <si>
    <t>HRP contract</t>
  </si>
  <si>
    <t xml:space="preserve">Various PL projects </t>
  </si>
  <si>
    <t>PZ says he'll spend this on projects--the total amount just spread across these months</t>
  </si>
  <si>
    <t>Pines Project</t>
  </si>
  <si>
    <t xml:space="preserve">NRCS Monitoring </t>
  </si>
  <si>
    <t>Public Lands expenses</t>
  </si>
  <si>
    <t>Prospecting/grant wrtiing/Admin chargeable to DNR or GLRI</t>
  </si>
  <si>
    <t>Average payment from DNR is 4750, add in WWA's 25%; Mar-Aug include QAPP development admin ($500)</t>
  </si>
  <si>
    <t>Kelcy, Bruce and Brad private lands support effort--directly chargeable to grants (various)</t>
  </si>
  <si>
    <t>Cedar Creek</t>
  </si>
  <si>
    <t>staff effort plus KCI contract</t>
  </si>
  <si>
    <t>White River</t>
  </si>
  <si>
    <t xml:space="preserve">Project complete in March </t>
  </si>
  <si>
    <t>Ertmer</t>
  </si>
  <si>
    <t>ecologist Staff time planning</t>
  </si>
  <si>
    <t>Goose Lake</t>
  </si>
  <si>
    <t>Staff time planning + construction in Aug</t>
  </si>
  <si>
    <t>Big Muskego</t>
  </si>
  <si>
    <t>Kettle Morraine</t>
  </si>
  <si>
    <t>DNR is doing the construction, but this is for staff time</t>
  </si>
  <si>
    <t>Deer Creek</t>
  </si>
  <si>
    <t>Lake Poygan</t>
  </si>
  <si>
    <t>Sheboygan Marsh</t>
  </si>
  <si>
    <t>Other Program Grant expenses</t>
  </si>
  <si>
    <t>Closeout R3 grant</t>
  </si>
  <si>
    <t>This closes out the grant, but expenses have been carried over form 2025</t>
  </si>
  <si>
    <t>USFWS expenses</t>
  </si>
  <si>
    <t>FUNDS OF FEDERAL ORIGIN=</t>
  </si>
  <si>
    <t>2026 Expo Budget Draft 1</t>
  </si>
  <si>
    <t>Vendors</t>
  </si>
  <si>
    <t xml:space="preserve">Booth sales </t>
  </si>
  <si>
    <t>Sponsors</t>
  </si>
  <si>
    <t>More sponsor and booth sales</t>
  </si>
  <si>
    <t xml:space="preserve">Attendance, etc </t>
  </si>
  <si>
    <t>Programming/logistics</t>
  </si>
  <si>
    <t>food trucks, shooting, beer, etc</t>
  </si>
  <si>
    <t>JEM Grant</t>
  </si>
  <si>
    <t>Admin</t>
  </si>
  <si>
    <t>storage</t>
  </si>
  <si>
    <t>Logistics</t>
  </si>
  <si>
    <t xml:space="preserve">Insurance, tents, pipe/drape, additional venue space, </t>
  </si>
  <si>
    <t>Mktg</t>
  </si>
  <si>
    <t xml:space="preserve"> Mrktng outsource; Directed Marketing;</t>
  </si>
  <si>
    <t>Programming</t>
  </si>
  <si>
    <t>Calling contest, shooting, dogs</t>
  </si>
  <si>
    <t>Signage</t>
  </si>
  <si>
    <t>Signage, outsource?</t>
  </si>
  <si>
    <t>Support of external programs</t>
  </si>
  <si>
    <t>Swiftwaters Sponsor commission</t>
  </si>
  <si>
    <t>Volunteers</t>
  </si>
  <si>
    <t>NET</t>
  </si>
  <si>
    <t>EXPO Fund Balance</t>
  </si>
  <si>
    <t>E</t>
  </si>
  <si>
    <t>Anna &amp; Blake pay increases</t>
  </si>
  <si>
    <t>FFLM has already provided the funding save 10% upon final report - this reflects the AJE to move $100k from deferred grant revenue into program revenue with project expense budget</t>
  </si>
  <si>
    <t>$5k grant software in January</t>
  </si>
  <si>
    <t>Employee</t>
  </si>
  <si>
    <t>2026 Annual</t>
  </si>
  <si>
    <t>Monthly</t>
  </si>
  <si>
    <t>Employer taxes @ 8.3%</t>
  </si>
  <si>
    <t>Gross Monthly</t>
  </si>
  <si>
    <t>Develop</t>
  </si>
  <si>
    <t>PS</t>
  </si>
  <si>
    <t>PS Brock thru 3/31</t>
  </si>
  <si>
    <t>PS Brock after 4/1</t>
  </si>
  <si>
    <t>Develop Brock thru 3/31</t>
  </si>
  <si>
    <t>Develop Brock after 4/1</t>
  </si>
  <si>
    <t>Boettcher</t>
  </si>
  <si>
    <t>Heidel</t>
  </si>
  <si>
    <t>Monette</t>
  </si>
  <si>
    <t>Rosenkranz</t>
  </si>
  <si>
    <t>Seibert</t>
  </si>
  <si>
    <t>Thru 3/31</t>
  </si>
  <si>
    <t>After 4/1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</si>
</sst>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  <numFmt numFmtId="173" formatCode="&quot;$&quot;#,##0;[Red]&quot;$&quot;#,##0"/>
    <numFmt numFmtId="174" formatCode="_(&quot;$&quot;* #,##0_);_(&quot;$&quot;* \(#,##0\);_(&quot;$&quot;* &quot;-&quot;??_);_(@_)"/>
  </numFmts>
  <fonts count="5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212230"/>
      <name val="Helvetica Neue"/>
      <family val="2"/>
    </font>
    <font>
      <i/>
      <sz val="11"/>
      <color theme="3" tint="0.39997558519241921"/>
      <name val="Calibri"/>
      <family val="2"/>
      <scheme val="minor"/>
    </font>
    <font>
      <i/>
      <sz val="11"/>
      <color rgb="FF212230"/>
      <name val="Helvetica Neue"/>
      <family val="2"/>
    </font>
    <font>
      <b/>
      <sz val="11"/>
      <color rgb="FF538DD5"/>
      <name val="Calibri"/>
      <family val="2"/>
      <scheme val="minor"/>
    </font>
    <font>
      <i/>
      <sz val="10"/>
      <color rgb="FF212230"/>
      <name val="Helvetica Neue"/>
      <family val="2"/>
    </font>
    <font>
      <i/>
      <sz val="11"/>
      <color rgb="FF00B0F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14"/>
      <color rgb="FF00B0F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43" fillId="0" borderId="0"/>
    <xf numFmtId="44" fontId="43" fillId="0" borderId="0" applyFont="0" applyFill="0" applyBorder="0" applyAlignment="0" applyProtection="0"/>
  </cellStyleXfs>
  <cellXfs count="262">
    <xf numFmtId="0" fontId="0" fillId="0" borderId="0" xfId="0"/>
    <xf numFmtId="165" fontId="2" fillId="0" borderId="0" xfId="0" applyNumberFormat="1" applyFont="1"/>
    <xf numFmtId="166" fontId="0" fillId="0" borderId="0" xfId="0" applyNumberFormat="1"/>
    <xf numFmtId="165" fontId="3" fillId="0" borderId="0" xfId="0" applyNumberFormat="1" applyFont="1"/>
    <xf numFmtId="0" fontId="2" fillId="0" borderId="0" xfId="0" applyFont="1"/>
    <xf numFmtId="165" fontId="2" fillId="0" borderId="0" xfId="0" applyNumberFormat="1" applyFont="1" applyAlignment="1">
      <alignment horizontal="left" indent="2"/>
    </xf>
    <xf numFmtId="169" fontId="0" fillId="0" borderId="0" xfId="0" applyNumberFormat="1"/>
    <xf numFmtId="0" fontId="10" fillId="0" borderId="0" xfId="0" applyFont="1"/>
    <xf numFmtId="166" fontId="0" fillId="0" borderId="0" xfId="1" applyNumberFormat="1" applyFont="1"/>
    <xf numFmtId="3" fontId="2" fillId="0" borderId="8" xfId="1" applyNumberFormat="1" applyBorder="1"/>
    <xf numFmtId="3" fontId="2" fillId="0" borderId="10" xfId="1" applyNumberFormat="1" applyBorder="1"/>
    <xf numFmtId="0" fontId="2" fillId="0" borderId="0" xfId="0" applyFont="1" applyAlignment="1">
      <alignment horizontal="left"/>
    </xf>
    <xf numFmtId="0" fontId="2" fillId="0" borderId="19" xfId="0" applyFont="1" applyBorder="1"/>
    <xf numFmtId="0" fontId="2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2" fillId="0" borderId="15" xfId="0" applyFont="1" applyBorder="1" applyAlignment="1">
      <alignment horizontal="left"/>
    </xf>
    <xf numFmtId="0" fontId="2" fillId="0" borderId="15" xfId="0" applyFont="1" applyBorder="1"/>
    <xf numFmtId="0" fontId="0" fillId="0" borderId="15" xfId="0" applyBorder="1"/>
    <xf numFmtId="0" fontId="11" fillId="0" borderId="0" xfId="0" applyFont="1"/>
    <xf numFmtId="0" fontId="10" fillId="0" borderId="0" xfId="0" applyFont="1" applyAlignment="1">
      <alignment horizontal="center"/>
    </xf>
    <xf numFmtId="3" fontId="2" fillId="0" borderId="0" xfId="1" applyNumberFormat="1" applyFill="1"/>
    <xf numFmtId="3" fontId="3" fillId="0" borderId="2" xfId="1" applyNumberFormat="1" applyFont="1" applyFill="1" applyBorder="1"/>
    <xf numFmtId="167" fontId="15" fillId="0" borderId="0" xfId="2" applyNumberFormat="1" applyFont="1" applyFill="1"/>
    <xf numFmtId="3" fontId="2" fillId="0" borderId="15" xfId="1" applyNumberFormat="1" applyFill="1" applyBorder="1"/>
    <xf numFmtId="3" fontId="2" fillId="0" borderId="2" xfId="1" applyNumberFormat="1" applyFill="1" applyBorder="1"/>
    <xf numFmtId="3" fontId="3" fillId="0" borderId="0" xfId="1" applyNumberFormat="1" applyFont="1" applyFill="1"/>
    <xf numFmtId="171" fontId="2" fillId="0" borderId="0" xfId="1" applyNumberFormat="1" applyFill="1"/>
    <xf numFmtId="3" fontId="3" fillId="0" borderId="3" xfId="0" applyNumberFormat="1" applyFont="1" applyBorder="1"/>
    <xf numFmtId="3" fontId="2" fillId="0" borderId="0" xfId="1" applyNumberFormat="1" applyBorder="1"/>
    <xf numFmtId="166" fontId="2" fillId="0" borderId="0" xfId="1" applyNumberFormat="1" applyFill="1" applyAlignment="1">
      <alignment horizontal="right"/>
    </xf>
    <xf numFmtId="0" fontId="10" fillId="0" borderId="7" xfId="0" applyFont="1" applyBorder="1" applyAlignment="1">
      <alignment horizontal="right"/>
    </xf>
    <xf numFmtId="14" fontId="21" fillId="0" borderId="0" xfId="3" applyNumberFormat="1" applyFont="1" applyFill="1"/>
    <xf numFmtId="3" fontId="2" fillId="0" borderId="0" xfId="1" applyNumberForma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10" fillId="0" borderId="20" xfId="0" applyFont="1" applyBorder="1" applyAlignment="1">
      <alignment horizontal="right"/>
    </xf>
    <xf numFmtId="0" fontId="0" fillId="0" borderId="7" xfId="0" applyBorder="1"/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170" fontId="10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2" fillId="0" borderId="7" xfId="0" applyNumberFormat="1" applyFont="1" applyBorder="1" applyAlignment="1">
      <alignment horizontal="center"/>
    </xf>
    <xf numFmtId="3" fontId="2" fillId="0" borderId="8" xfId="1" applyNumberFormat="1" applyFill="1" applyBorder="1"/>
    <xf numFmtId="3" fontId="2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0" fontId="3" fillId="0" borderId="11" xfId="0" applyNumberFormat="1" applyFont="1" applyBorder="1" applyAlignment="1">
      <alignment horizontal="center"/>
    </xf>
    <xf numFmtId="3" fontId="3" fillId="0" borderId="11" xfId="1" applyNumberFormat="1" applyFont="1" applyFill="1" applyBorder="1"/>
    <xf numFmtId="3" fontId="3" fillId="0" borderId="9" xfId="1" applyNumberFormat="1" applyFont="1" applyFill="1" applyBorder="1"/>
    <xf numFmtId="170" fontId="3" fillId="0" borderId="7" xfId="0" applyNumberFormat="1" applyFont="1" applyBorder="1" applyAlignment="1">
      <alignment horizontal="center"/>
    </xf>
    <xf numFmtId="3" fontId="20" fillId="0" borderId="8" xfId="1" applyNumberFormat="1" applyFont="1" applyFill="1" applyBorder="1"/>
    <xf numFmtId="3" fontId="20" fillId="0" borderId="10" xfId="1" applyNumberFormat="1" applyFont="1" applyFill="1" applyBorder="1"/>
    <xf numFmtId="171" fontId="19" fillId="0" borderId="8" xfId="1" applyNumberFormat="1" applyFont="1" applyFill="1" applyBorder="1"/>
    <xf numFmtId="171" fontId="19" fillId="0" borderId="10" xfId="1" applyNumberFormat="1" applyFont="1" applyFill="1" applyBorder="1"/>
    <xf numFmtId="3" fontId="19" fillId="0" borderId="12" xfId="1" applyNumberFormat="1" applyFont="1" applyFill="1" applyBorder="1"/>
    <xf numFmtId="170" fontId="3" fillId="0" borderId="13" xfId="0" applyNumberFormat="1" applyFont="1" applyBorder="1" applyAlignment="1">
      <alignment horizontal="center"/>
    </xf>
    <xf numFmtId="167" fontId="15" fillId="0" borderId="8" xfId="2" applyNumberFormat="1" applyFont="1" applyFill="1" applyBorder="1"/>
    <xf numFmtId="167" fontId="15" fillId="0" borderId="10" xfId="2" applyNumberFormat="1" applyFont="1" applyFill="1" applyBorder="1"/>
    <xf numFmtId="170" fontId="12" fillId="0" borderId="7" xfId="0" applyNumberFormat="1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170" fontId="2" fillId="0" borderId="8" xfId="0" applyNumberFormat="1" applyFont="1" applyBorder="1" applyAlignment="1">
      <alignment horizontal="center"/>
    </xf>
    <xf numFmtId="3" fontId="2" fillId="0" borderId="14" xfId="1" applyNumberFormat="1" applyFill="1" applyBorder="1"/>
    <xf numFmtId="3" fontId="2" fillId="0" borderId="12" xfId="1" applyNumberFormat="1" applyFill="1" applyBorder="1"/>
    <xf numFmtId="170" fontId="12" fillId="0" borderId="7" xfId="0" applyNumberFormat="1" applyFont="1" applyBorder="1" applyAlignment="1">
      <alignment horizontal="center"/>
    </xf>
    <xf numFmtId="3" fontId="3" fillId="0" borderId="10" xfId="1" applyNumberFormat="1" applyFont="1" applyFill="1" applyBorder="1"/>
    <xf numFmtId="167" fontId="2" fillId="0" borderId="10" xfId="2" applyNumberFormat="1" applyFill="1" applyBorder="1"/>
    <xf numFmtId="170" fontId="21" fillId="0" borderId="7" xfId="0" applyNumberFormat="1" applyFont="1" applyBorder="1" applyAlignment="1">
      <alignment horizontal="center"/>
    </xf>
    <xf numFmtId="170" fontId="21" fillId="0" borderId="7" xfId="0" applyNumberFormat="1" applyFont="1" applyBorder="1" applyAlignment="1">
      <alignment horizontal="left"/>
    </xf>
    <xf numFmtId="170" fontId="21" fillId="0" borderId="8" xfId="0" applyNumberFormat="1" applyFont="1" applyBorder="1" applyAlignment="1">
      <alignment horizontal="center"/>
    </xf>
    <xf numFmtId="3" fontId="2" fillId="0" borderId="11" xfId="1" applyNumberFormat="1" applyFill="1" applyBorder="1"/>
    <xf numFmtId="170" fontId="3" fillId="0" borderId="8" xfId="0" applyNumberFormat="1" applyFont="1" applyBorder="1" applyAlignment="1">
      <alignment horizontal="center"/>
    </xf>
    <xf numFmtId="3" fontId="3" fillId="0" borderId="8" xfId="1" applyNumberFormat="1" applyFont="1" applyFill="1" applyBorder="1"/>
    <xf numFmtId="171" fontId="2" fillId="0" borderId="14" xfId="1" applyNumberFormat="1" applyFill="1" applyBorder="1"/>
    <xf numFmtId="171" fontId="2" fillId="0" borderId="10" xfId="1" applyNumberFormat="1" applyFill="1" applyBorder="1"/>
    <xf numFmtId="170" fontId="3" fillId="0" borderId="4" xfId="0" applyNumberFormat="1" applyFont="1" applyBorder="1" applyAlignment="1">
      <alignment horizontal="center"/>
    </xf>
    <xf numFmtId="3" fontId="3" fillId="0" borderId="16" xfId="0" applyNumberFormat="1" applyFont="1" applyBorder="1"/>
    <xf numFmtId="3" fontId="3" fillId="0" borderId="17" xfId="0" applyNumberFormat="1" applyFont="1" applyBorder="1"/>
    <xf numFmtId="0" fontId="2" fillId="0" borderId="0" xfId="0" applyFont="1" applyAlignment="1">
      <alignment horizontal="right"/>
    </xf>
    <xf numFmtId="166" fontId="5" fillId="0" borderId="0" xfId="1" applyNumberFormat="1" applyFont="1" applyFill="1"/>
    <xf numFmtId="0" fontId="3" fillId="0" borderId="0" xfId="0" applyFont="1"/>
    <xf numFmtId="166" fontId="19" fillId="0" borderId="0" xfId="1" applyNumberFormat="1" applyFont="1" applyFill="1" applyAlignment="1">
      <alignment horizontal="right"/>
    </xf>
    <xf numFmtId="166" fontId="9" fillId="0" borderId="0" xfId="1" applyNumberFormat="1" applyFont="1" applyFill="1" applyAlignment="1">
      <alignment horizontal="right"/>
    </xf>
    <xf numFmtId="167" fontId="2" fillId="0" borderId="0" xfId="2" applyNumberFormat="1" applyFill="1"/>
    <xf numFmtId="166" fontId="3" fillId="0" borderId="2" xfId="1" applyNumberFormat="1" applyFont="1" applyFill="1" applyBorder="1"/>
    <xf numFmtId="166" fontId="3" fillId="0" borderId="0" xfId="1" applyNumberFormat="1" applyFont="1" applyFill="1"/>
    <xf numFmtId="166" fontId="20" fillId="0" borderId="0" xfId="1" applyNumberFormat="1" applyFont="1" applyFill="1"/>
    <xf numFmtId="166" fontId="3" fillId="0" borderId="2" xfId="1" applyNumberFormat="1" applyFont="1" applyFill="1" applyBorder="1" applyAlignment="1">
      <alignment horizontal="right"/>
    </xf>
    <xf numFmtId="166" fontId="20" fillId="0" borderId="0" xfId="1" applyNumberFormat="1" applyFont="1" applyFill="1" applyAlignment="1">
      <alignment horizontal="right"/>
    </xf>
    <xf numFmtId="166" fontId="3" fillId="0" borderId="3" xfId="1" applyNumberFormat="1" applyFont="1" applyFill="1" applyBorder="1"/>
    <xf numFmtId="166" fontId="19" fillId="0" borderId="0" xfId="1" applyNumberFormat="1" applyFont="1" applyFill="1"/>
    <xf numFmtId="3" fontId="3" fillId="0" borderId="0" xfId="0" applyNumberFormat="1" applyFont="1"/>
    <xf numFmtId="3" fontId="2" fillId="0" borderId="8" xfId="1" applyNumberFormat="1" applyFont="1" applyBorder="1"/>
    <xf numFmtId="3" fontId="2" fillId="0" borderId="0" xfId="1" applyNumberFormat="1" applyFont="1" applyBorder="1"/>
    <xf numFmtId="3" fontId="19" fillId="0" borderId="0" xfId="1" applyNumberFormat="1" applyFont="1" applyFill="1" applyBorder="1"/>
    <xf numFmtId="3" fontId="20" fillId="0" borderId="0" xfId="1" applyNumberFormat="1" applyFont="1" applyFill="1" applyBorder="1"/>
    <xf numFmtId="171" fontId="19" fillId="0" borderId="0" xfId="1" applyNumberFormat="1" applyFont="1" applyFill="1" applyBorder="1"/>
    <xf numFmtId="167" fontId="15" fillId="0" borderId="0" xfId="2" applyNumberFormat="1" applyFont="1" applyFill="1" applyBorder="1"/>
    <xf numFmtId="44" fontId="0" fillId="0" borderId="0" xfId="3" applyFont="1" applyFill="1"/>
    <xf numFmtId="44" fontId="12" fillId="0" borderId="0" xfId="3" applyFont="1" applyFill="1"/>
    <xf numFmtId="44" fontId="2" fillId="0" borderId="0" xfId="3" applyFont="1" applyFill="1"/>
    <xf numFmtId="3" fontId="2" fillId="0" borderId="0" xfId="1" applyNumberFormat="1" applyFont="1" applyFill="1" applyBorder="1"/>
    <xf numFmtId="0" fontId="14" fillId="0" borderId="5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3" fontId="11" fillId="0" borderId="0" xfId="1" applyNumberFormat="1" applyFont="1" applyFill="1" applyBorder="1"/>
    <xf numFmtId="3" fontId="2" fillId="0" borderId="8" xfId="1" applyNumberFormat="1" applyFont="1" applyFill="1" applyBorder="1"/>
    <xf numFmtId="3" fontId="2" fillId="0" borderId="21" xfId="1" applyNumberFormat="1" applyFont="1" applyFill="1" applyBorder="1"/>
    <xf numFmtId="3" fontId="3" fillId="0" borderId="22" xfId="1" applyNumberFormat="1" applyFont="1" applyFill="1" applyBorder="1"/>
    <xf numFmtId="3" fontId="3" fillId="0" borderId="21" xfId="1" applyNumberFormat="1" applyFont="1" applyFill="1" applyBorder="1"/>
    <xf numFmtId="171" fontId="2" fillId="0" borderId="21" xfId="1" applyNumberFormat="1" applyFont="1" applyFill="1" applyBorder="1"/>
    <xf numFmtId="167" fontId="15" fillId="0" borderId="21" xfId="2" applyNumberFormat="1" applyFont="1" applyFill="1" applyBorder="1"/>
    <xf numFmtId="3" fontId="11" fillId="0" borderId="21" xfId="1" applyNumberFormat="1" applyFont="1" applyFill="1" applyBorder="1"/>
    <xf numFmtId="3" fontId="3" fillId="0" borderId="23" xfId="0" applyNumberFormat="1" applyFont="1" applyBorder="1"/>
    <xf numFmtId="0" fontId="12" fillId="0" borderId="0" xfId="0" applyFont="1"/>
    <xf numFmtId="44" fontId="0" fillId="0" borderId="0" xfId="0" applyNumberFormat="1"/>
    <xf numFmtId="0" fontId="21" fillId="0" borderId="0" xfId="0" applyFont="1"/>
    <xf numFmtId="44" fontId="3" fillId="0" borderId="0" xfId="3" applyFont="1" applyFill="1"/>
    <xf numFmtId="44" fontId="21" fillId="0" borderId="0" xfId="3" applyFont="1" applyFill="1"/>
    <xf numFmtId="0" fontId="19" fillId="0" borderId="0" xfId="0" applyFont="1"/>
    <xf numFmtId="44" fontId="19" fillId="0" borderId="0" xfId="3" applyFont="1" applyFill="1"/>
    <xf numFmtId="165" fontId="5" fillId="0" borderId="0" xfId="0" applyNumberFormat="1" applyFont="1"/>
    <xf numFmtId="17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7" fillId="0" borderId="0" xfId="0" applyNumberFormat="1" applyFont="1" applyAlignment="1">
      <alignment horizontal="center"/>
    </xf>
    <xf numFmtId="165" fontId="20" fillId="0" borderId="0" xfId="0" applyNumberFormat="1" applyFont="1"/>
    <xf numFmtId="166" fontId="2" fillId="0" borderId="0" xfId="0" applyNumberFormat="1" applyFont="1"/>
    <xf numFmtId="166" fontId="3" fillId="0" borderId="0" xfId="1" applyNumberFormat="1" applyFont="1" applyFill="1" applyAlignment="1">
      <alignment horizontal="right"/>
    </xf>
    <xf numFmtId="166" fontId="2" fillId="0" borderId="0" xfId="1" applyNumberFormat="1" applyFill="1"/>
    <xf numFmtId="3" fontId="2" fillId="0" borderId="9" xfId="1" applyNumberFormat="1" applyFont="1" applyFill="1" applyBorder="1"/>
    <xf numFmtId="3" fontId="11" fillId="0" borderId="8" xfId="1" applyNumberFormat="1" applyFont="1" applyFill="1" applyBorder="1"/>
    <xf numFmtId="170" fontId="2" fillId="2" borderId="7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5" fontId="6" fillId="0" borderId="0" xfId="0" applyNumberFormat="1" applyFont="1"/>
    <xf numFmtId="165" fontId="2" fillId="0" borderId="0" xfId="0" applyNumberFormat="1" applyFont="1" applyAlignment="1">
      <alignment horizontal="left" indent="1"/>
    </xf>
    <xf numFmtId="0" fontId="8" fillId="0" borderId="0" xfId="0" applyFont="1"/>
    <xf numFmtId="166" fontId="2" fillId="0" borderId="0" xfId="1" applyNumberFormat="1" applyFont="1" applyFill="1" applyAlignment="1">
      <alignment horizontal="right"/>
    </xf>
    <xf numFmtId="165" fontId="2" fillId="2" borderId="0" xfId="0" applyNumberFormat="1" applyFont="1" applyFill="1" applyAlignment="1">
      <alignment horizontal="left" indent="1"/>
    </xf>
    <xf numFmtId="0" fontId="27" fillId="0" borderId="0" xfId="5" applyFont="1" applyAlignment="1">
      <alignment horizontal="center"/>
    </xf>
    <xf numFmtId="173" fontId="28" fillId="0" borderId="0" xfId="5" applyNumberFormat="1" applyFont="1" applyAlignment="1">
      <alignment horizontal="center"/>
    </xf>
    <xf numFmtId="173" fontId="1" fillId="0" borderId="0" xfId="5" applyNumberFormat="1" applyAlignment="1">
      <alignment horizontal="center" wrapText="1"/>
    </xf>
    <xf numFmtId="0" fontId="28" fillId="4" borderId="18" xfId="5" applyFont="1" applyFill="1" applyBorder="1" applyAlignment="1">
      <alignment horizontal="center"/>
    </xf>
    <xf numFmtId="0" fontId="28" fillId="0" borderId="0" xfId="5" applyFont="1" applyAlignment="1">
      <alignment horizontal="center"/>
    </xf>
    <xf numFmtId="0" fontId="29" fillId="0" borderId="18" xfId="5" applyFont="1" applyBorder="1"/>
    <xf numFmtId="173" fontId="29" fillId="0" borderId="18" xfId="5" applyNumberFormat="1" applyFont="1" applyBorder="1"/>
    <xf numFmtId="174" fontId="29" fillId="0" borderId="18" xfId="6" applyNumberFormat="1" applyFont="1" applyBorder="1"/>
    <xf numFmtId="174" fontId="29" fillId="0" borderId="18" xfId="6" applyNumberFormat="1" applyFont="1" applyBorder="1" applyAlignment="1">
      <alignment horizontal="center"/>
    </xf>
    <xf numFmtId="0" fontId="29" fillId="0" borderId="24" xfId="5" applyFont="1" applyBorder="1"/>
    <xf numFmtId="0" fontId="12" fillId="5" borderId="1" xfId="5" applyFont="1" applyFill="1" applyBorder="1"/>
    <xf numFmtId="170" fontId="12" fillId="5" borderId="5" xfId="5" applyNumberFormat="1" applyFont="1" applyFill="1" applyBorder="1" applyAlignment="1">
      <alignment horizontal="left"/>
    </xf>
    <xf numFmtId="174" fontId="12" fillId="5" borderId="18" xfId="6" applyNumberFormat="1" applyFont="1" applyFill="1" applyBorder="1" applyAlignment="1">
      <alignment horizontal="left"/>
    </xf>
    <xf numFmtId="174" fontId="12" fillId="5" borderId="18" xfId="6" applyNumberFormat="1" applyFont="1" applyFill="1" applyBorder="1"/>
    <xf numFmtId="174" fontId="12" fillId="5" borderId="25" xfId="6" applyNumberFormat="1" applyFont="1" applyFill="1" applyBorder="1"/>
    <xf numFmtId="174" fontId="12" fillId="5" borderId="25" xfId="6" applyNumberFormat="1" applyFont="1" applyFill="1" applyBorder="1" applyAlignment="1">
      <alignment horizontal="center"/>
    </xf>
    <xf numFmtId="0" fontId="12" fillId="5" borderId="18" xfId="5" applyFont="1" applyFill="1" applyBorder="1"/>
    <xf numFmtId="0" fontId="30" fillId="0" borderId="0" xfId="5" applyFont="1" applyAlignment="1">
      <alignment horizontal="right"/>
    </xf>
    <xf numFmtId="0" fontId="31" fillId="0" borderId="18" xfId="5" applyFont="1" applyBorder="1" applyAlignment="1">
      <alignment horizontal="right"/>
    </xf>
    <xf numFmtId="174" fontId="32" fillId="0" borderId="18" xfId="6" applyNumberFormat="1" applyFont="1" applyBorder="1" applyAlignment="1">
      <alignment horizontal="right"/>
    </xf>
    <xf numFmtId="174" fontId="31" fillId="0" borderId="18" xfId="6" applyNumberFormat="1" applyFont="1" applyBorder="1" applyAlignment="1">
      <alignment horizontal="right"/>
    </xf>
    <xf numFmtId="174" fontId="31" fillId="0" borderId="18" xfId="6" applyNumberFormat="1" applyFont="1" applyFill="1" applyBorder="1" applyAlignment="1">
      <alignment horizontal="right"/>
    </xf>
    <xf numFmtId="174" fontId="31" fillId="0" borderId="18" xfId="6" applyNumberFormat="1" applyFont="1" applyBorder="1" applyAlignment="1">
      <alignment horizontal="center"/>
    </xf>
    <xf numFmtId="174" fontId="31" fillId="0" borderId="18" xfId="6" applyNumberFormat="1" applyFont="1" applyBorder="1"/>
    <xf numFmtId="0" fontId="31" fillId="0" borderId="0" xfId="5" applyFont="1" applyAlignment="1">
      <alignment horizontal="right"/>
    </xf>
    <xf numFmtId="0" fontId="31" fillId="3" borderId="18" xfId="5" applyFont="1" applyFill="1" applyBorder="1" applyAlignment="1">
      <alignment horizontal="right"/>
    </xf>
    <xf numFmtId="174" fontId="31" fillId="0" borderId="0" xfId="6" applyNumberFormat="1" applyFont="1" applyFill="1" applyBorder="1" applyAlignment="1">
      <alignment horizontal="right"/>
    </xf>
    <xf numFmtId="174" fontId="33" fillId="0" borderId="18" xfId="6" applyNumberFormat="1" applyFont="1" applyBorder="1" applyAlignment="1">
      <alignment horizontal="right"/>
    </xf>
    <xf numFmtId="174" fontId="33" fillId="0" borderId="18" xfId="6" applyNumberFormat="1" applyFont="1" applyBorder="1" applyAlignment="1">
      <alignment horizontal="center"/>
    </xf>
    <xf numFmtId="0" fontId="30" fillId="0" borderId="0" xfId="5" applyFont="1"/>
    <xf numFmtId="0" fontId="31" fillId="0" borderId="0" xfId="5" applyFont="1"/>
    <xf numFmtId="174" fontId="33" fillId="0" borderId="18" xfId="6" applyNumberFormat="1" applyFont="1" applyBorder="1"/>
    <xf numFmtId="0" fontId="31" fillId="0" borderId="18" xfId="5" applyFont="1" applyBorder="1"/>
    <xf numFmtId="174" fontId="32" fillId="3" borderId="18" xfId="6" applyNumberFormat="1" applyFont="1" applyFill="1" applyBorder="1" applyAlignment="1">
      <alignment horizontal="right"/>
    </xf>
    <xf numFmtId="174" fontId="31" fillId="0" borderId="26" xfId="6" applyNumberFormat="1" applyFont="1" applyBorder="1"/>
    <xf numFmtId="0" fontId="31" fillId="0" borderId="26" xfId="5" applyFont="1" applyBorder="1"/>
    <xf numFmtId="174" fontId="12" fillId="5" borderId="18" xfId="6" applyNumberFormat="1" applyFont="1" applyFill="1" applyBorder="1" applyAlignment="1">
      <alignment horizontal="center"/>
    </xf>
    <xf numFmtId="174" fontId="31" fillId="0" borderId="25" xfId="6" applyNumberFormat="1" applyFont="1" applyBorder="1"/>
    <xf numFmtId="174" fontId="33" fillId="0" borderId="25" xfId="6" applyNumberFormat="1" applyFont="1" applyBorder="1"/>
    <xf numFmtId="174" fontId="33" fillId="0" borderId="25" xfId="6" applyNumberFormat="1" applyFont="1" applyBorder="1" applyAlignment="1">
      <alignment horizontal="center"/>
    </xf>
    <xf numFmtId="0" fontId="31" fillId="0" borderId="25" xfId="5" applyFont="1" applyBorder="1"/>
    <xf numFmtId="174" fontId="34" fillId="0" borderId="18" xfId="6" applyNumberFormat="1" applyFont="1" applyBorder="1" applyAlignment="1">
      <alignment horizontal="right"/>
    </xf>
    <xf numFmtId="174" fontId="31" fillId="0" borderId="18" xfId="6" applyNumberFormat="1" applyFont="1" applyFill="1" applyBorder="1"/>
    <xf numFmtId="174" fontId="31" fillId="3" borderId="18" xfId="6" applyNumberFormat="1" applyFont="1" applyFill="1" applyBorder="1"/>
    <xf numFmtId="6" fontId="31" fillId="0" borderId="18" xfId="5" applyNumberFormat="1" applyFont="1" applyBorder="1"/>
    <xf numFmtId="170" fontId="31" fillId="0" borderId="18" xfId="5" applyNumberFormat="1" applyFont="1" applyBorder="1" applyAlignment="1">
      <alignment horizontal="right"/>
    </xf>
    <xf numFmtId="174" fontId="32" fillId="0" borderId="27" xfId="6" applyNumberFormat="1" applyFont="1" applyBorder="1" applyAlignment="1">
      <alignment horizontal="right"/>
    </xf>
    <xf numFmtId="170" fontId="12" fillId="5" borderId="4" xfId="5" applyNumberFormat="1" applyFont="1" applyFill="1" applyBorder="1" applyAlignment="1">
      <alignment horizontal="left"/>
    </xf>
    <xf numFmtId="174" fontId="12" fillId="5" borderId="1" xfId="6" applyNumberFormat="1" applyFont="1" applyFill="1" applyBorder="1" applyAlignment="1">
      <alignment horizontal="left"/>
    </xf>
    <xf numFmtId="174" fontId="35" fillId="6" borderId="25" xfId="5" applyNumberFormat="1" applyFont="1" applyFill="1" applyBorder="1"/>
    <xf numFmtId="174" fontId="12" fillId="6" borderId="25" xfId="5" applyNumberFormat="1" applyFont="1" applyFill="1" applyBorder="1" applyAlignment="1">
      <alignment horizontal="center"/>
    </xf>
    <xf numFmtId="0" fontId="12" fillId="5" borderId="0" xfId="5" applyFont="1" applyFill="1"/>
    <xf numFmtId="0" fontId="36" fillId="0" borderId="18" xfId="5" applyFont="1" applyBorder="1" applyAlignment="1">
      <alignment horizontal="right"/>
    </xf>
    <xf numFmtId="174" fontId="37" fillId="0" borderId="18" xfId="6" applyNumberFormat="1" applyFont="1" applyBorder="1"/>
    <xf numFmtId="174" fontId="37" fillId="0" borderId="18" xfId="6" applyNumberFormat="1" applyFont="1" applyBorder="1" applyAlignment="1">
      <alignment horizontal="center"/>
    </xf>
    <xf numFmtId="0" fontId="1" fillId="5" borderId="0" xfId="5" applyFill="1"/>
    <xf numFmtId="0" fontId="12" fillId="7" borderId="0" xfId="5" applyFont="1" applyFill="1"/>
    <xf numFmtId="0" fontId="1" fillId="7" borderId="0" xfId="5" applyFill="1"/>
    <xf numFmtId="0" fontId="38" fillId="7" borderId="0" xfId="5" applyFont="1" applyFill="1"/>
    <xf numFmtId="0" fontId="38" fillId="7" borderId="0" xfId="5" applyFont="1" applyFill="1" applyAlignment="1">
      <alignment horizontal="center"/>
    </xf>
    <xf numFmtId="0" fontId="28" fillId="7" borderId="0" xfId="5" applyFont="1" applyFill="1" applyAlignment="1">
      <alignment horizontal="center"/>
    </xf>
    <xf numFmtId="0" fontId="12" fillId="5" borderId="15" xfId="5" applyFont="1" applyFill="1" applyBorder="1"/>
    <xf numFmtId="170" fontId="12" fillId="5" borderId="28" xfId="5" applyNumberFormat="1" applyFont="1" applyFill="1" applyBorder="1" applyAlignment="1">
      <alignment horizontal="left"/>
    </xf>
    <xf numFmtId="170" fontId="12" fillId="5" borderId="15" xfId="5" applyNumberFormat="1" applyFont="1" applyFill="1" applyBorder="1" applyAlignment="1">
      <alignment horizontal="left"/>
    </xf>
    <xf numFmtId="0" fontId="12" fillId="5" borderId="25" xfId="5" applyFont="1" applyFill="1" applyBorder="1"/>
    <xf numFmtId="0" fontId="12" fillId="0" borderId="18" xfId="5" applyFont="1" applyBorder="1"/>
    <xf numFmtId="0" fontId="12" fillId="0" borderId="0" xfId="5" applyFont="1"/>
    <xf numFmtId="173" fontId="1" fillId="0" borderId="0" xfId="5" applyNumberFormat="1"/>
    <xf numFmtId="0" fontId="1" fillId="0" borderId="0" xfId="5"/>
    <xf numFmtId="0" fontId="1" fillId="0" borderId="0" xfId="5" applyAlignment="1">
      <alignment horizontal="center"/>
    </xf>
    <xf numFmtId="0" fontId="39" fillId="0" borderId="0" xfId="5" applyFont="1"/>
    <xf numFmtId="0" fontId="29" fillId="0" borderId="0" xfId="5" applyFont="1"/>
    <xf numFmtId="174" fontId="39" fillId="0" borderId="0" xfId="5" applyNumberFormat="1" applyFont="1" applyAlignment="1">
      <alignment wrapText="1"/>
    </xf>
    <xf numFmtId="0" fontId="40" fillId="0" borderId="0" xfId="5" applyFont="1" applyAlignment="1">
      <alignment horizontal="center"/>
    </xf>
    <xf numFmtId="0" fontId="44" fillId="8" borderId="0" xfId="7" applyFont="1" applyFill="1"/>
    <xf numFmtId="44" fontId="44" fillId="8" borderId="18" xfId="8" applyFont="1" applyFill="1" applyBorder="1"/>
    <xf numFmtId="0" fontId="44" fillId="8" borderId="18" xfId="7" applyFont="1" applyFill="1" applyBorder="1" applyAlignment="1">
      <alignment wrapText="1"/>
    </xf>
    <xf numFmtId="174" fontId="45" fillId="9" borderId="18" xfId="8" applyNumberFormat="1" applyFont="1" applyFill="1" applyBorder="1" applyAlignment="1">
      <alignment horizontal="right"/>
    </xf>
    <xf numFmtId="0" fontId="46" fillId="5" borderId="18" xfId="7" applyFont="1" applyFill="1" applyBorder="1"/>
    <xf numFmtId="0" fontId="47" fillId="0" borderId="0" xfId="7" applyFont="1"/>
    <xf numFmtId="0" fontId="45" fillId="0" borderId="0" xfId="7" applyFont="1"/>
    <xf numFmtId="44" fontId="45" fillId="4" borderId="18" xfId="8" applyFont="1" applyFill="1" applyBorder="1"/>
    <xf numFmtId="0" fontId="45" fillId="4" borderId="18" xfId="7" applyFont="1" applyFill="1" applyBorder="1" applyAlignment="1">
      <alignment wrapText="1"/>
    </xf>
    <xf numFmtId="174" fontId="45" fillId="4" borderId="18" xfId="7" applyNumberFormat="1" applyFont="1" applyFill="1" applyBorder="1" applyAlignment="1">
      <alignment wrapText="1"/>
    </xf>
    <xf numFmtId="174" fontId="45" fillId="4" borderId="18" xfId="8" applyNumberFormat="1" applyFont="1" applyFill="1" applyBorder="1"/>
    <xf numFmtId="174" fontId="45" fillId="9" borderId="18" xfId="8" applyNumberFormat="1" applyFont="1" applyFill="1" applyBorder="1"/>
    <xf numFmtId="44" fontId="45" fillId="5" borderId="18" xfId="8" applyFont="1" applyFill="1" applyBorder="1"/>
    <xf numFmtId="0" fontId="46" fillId="0" borderId="0" xfId="7" applyFont="1"/>
    <xf numFmtId="44" fontId="48" fillId="0" borderId="18" xfId="8" applyFont="1" applyBorder="1"/>
    <xf numFmtId="0" fontId="46" fillId="0" borderId="18" xfId="7" applyFont="1" applyBorder="1" applyAlignment="1">
      <alignment wrapText="1"/>
    </xf>
    <xf numFmtId="174" fontId="46" fillId="0" borderId="18" xfId="8" applyNumberFormat="1" applyFont="1" applyBorder="1" applyAlignment="1">
      <alignment wrapText="1"/>
    </xf>
    <xf numFmtId="174" fontId="46" fillId="3" borderId="18" xfId="8" applyNumberFormat="1" applyFont="1" applyFill="1" applyBorder="1" applyAlignment="1">
      <alignment wrapText="1"/>
    </xf>
    <xf numFmtId="174" fontId="46" fillId="9" borderId="18" xfId="8" applyNumberFormat="1" applyFont="1" applyFill="1" applyBorder="1"/>
    <xf numFmtId="174" fontId="45" fillId="4" borderId="18" xfId="8" applyNumberFormat="1" applyFont="1" applyFill="1" applyBorder="1" applyAlignment="1">
      <alignment wrapText="1"/>
    </xf>
    <xf numFmtId="0" fontId="46" fillId="0" borderId="0" xfId="7" applyFont="1" applyAlignment="1">
      <alignment horizontal="right"/>
    </xf>
    <xf numFmtId="0" fontId="48" fillId="0" borderId="0" xfId="7" applyFont="1"/>
    <xf numFmtId="44" fontId="49" fillId="0" borderId="18" xfId="8" applyFont="1" applyBorder="1"/>
    <xf numFmtId="0" fontId="43" fillId="0" borderId="18" xfId="7" applyBorder="1" applyAlignment="1">
      <alignment wrapText="1"/>
    </xf>
    <xf numFmtId="174" fontId="0" fillId="0" borderId="18" xfId="8" applyNumberFormat="1" applyFont="1" applyBorder="1" applyAlignment="1">
      <alignment wrapText="1"/>
    </xf>
    <xf numFmtId="174" fontId="0" fillId="9" borderId="18" xfId="8" applyNumberFormat="1" applyFont="1" applyFill="1" applyBorder="1"/>
    <xf numFmtId="0" fontId="43" fillId="5" borderId="18" xfId="7" applyFill="1" applyBorder="1"/>
    <xf numFmtId="0" fontId="43" fillId="0" borderId="0" xfId="7"/>
    <xf numFmtId="0" fontId="47" fillId="4" borderId="18" xfId="7" applyFont="1" applyFill="1" applyBorder="1" applyAlignment="1">
      <alignment wrapText="1"/>
    </xf>
    <xf numFmtId="174" fontId="47" fillId="4" borderId="18" xfId="8" applyNumberFormat="1" applyFont="1" applyFill="1" applyBorder="1" applyAlignment="1">
      <alignment wrapText="1"/>
    </xf>
    <xf numFmtId="44" fontId="49" fillId="0" borderId="0" xfId="8" applyFont="1"/>
    <xf numFmtId="0" fontId="43" fillId="0" borderId="0" xfId="7" applyAlignment="1">
      <alignment wrapText="1"/>
    </xf>
    <xf numFmtId="174" fontId="0" fillId="0" borderId="0" xfId="8" applyNumberFormat="1" applyFont="1"/>
    <xf numFmtId="165" fontId="2" fillId="2" borderId="0" xfId="0" applyNumberFormat="1" applyFont="1" applyFill="1"/>
    <xf numFmtId="164" fontId="13" fillId="0" borderId="4" xfId="0" applyNumberFormat="1" applyFont="1" applyBorder="1" applyAlignment="1">
      <alignment horizontal="center"/>
    </xf>
    <xf numFmtId="0" fontId="12" fillId="2" borderId="0" xfId="0" applyFont="1" applyFill="1"/>
    <xf numFmtId="44" fontId="12" fillId="0" borderId="0" xfId="6" applyFont="1"/>
    <xf numFmtId="44" fontId="0" fillId="0" borderId="0" xfId="6" applyFont="1"/>
    <xf numFmtId="44" fontId="12" fillId="0" borderId="0" xfId="0" applyNumberFormat="1" applyFont="1"/>
    <xf numFmtId="0" fontId="0" fillId="0" borderId="0" xfId="0" applyAlignment="1">
      <alignment horizontal="center"/>
    </xf>
    <xf numFmtId="17" fontId="10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8" fontId="22" fillId="0" borderId="0" xfId="0" applyNumberFormat="1" applyFont="1" applyAlignment="1">
      <alignment horizontal="left"/>
    </xf>
    <xf numFmtId="168" fontId="22" fillId="0" borderId="0" xfId="0" quotePrefix="1" applyNumberFormat="1" applyFont="1" applyAlignment="1">
      <alignment horizontal="left"/>
    </xf>
  </cellXfs>
  <cellStyles count="9">
    <cellStyle name="Comma" xfId="1" builtinId="3"/>
    <cellStyle name="Currency" xfId="3" builtinId="4"/>
    <cellStyle name="Currency 2" xfId="4" xr:uid="{DDDBF24A-24B0-4227-BEB4-454383FDF546}"/>
    <cellStyle name="Currency 3" xfId="6" xr:uid="{FB573A87-ABF6-42D3-AF6C-CC9237098E22}"/>
    <cellStyle name="Currency 4" xfId="8" xr:uid="{8A680E82-A22A-4306-9C2B-AD8FD6D42763}"/>
    <cellStyle name="Normal" xfId="0" builtinId="0"/>
    <cellStyle name="Normal 2" xfId="5" xr:uid="{20AA33E8-3997-4D80-B99F-58D01F9F8F82}"/>
    <cellStyle name="Normal 3" xfId="7" xr:uid="{4050DF00-ED68-4739-8EC4-6ABFD6677FAE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7"/>
  <sheetViews>
    <sheetView tabSelected="1" topLeftCell="A12" zoomScale="64" zoomScaleNormal="115" workbookViewId="0">
      <selection activeCell="M45" sqref="M45"/>
    </sheetView>
  </sheetViews>
  <sheetFormatPr defaultColWidth="9.109375" defaultRowHeight="13.2"/>
  <cols>
    <col min="1" max="1" width="26.109375" customWidth="1"/>
    <col min="2" max="14" width="10.6640625" customWidth="1"/>
    <col min="15" max="15" width="4.33203125" customWidth="1"/>
    <col min="16" max="16" width="12.88671875" style="36" customWidth="1"/>
    <col min="17" max="17" width="14" customWidth="1"/>
  </cols>
  <sheetData>
    <row r="1" spans="1:17">
      <c r="A1" s="257" t="s">
        <v>20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</row>
    <row r="2" spans="1:17">
      <c r="A2" s="257" t="s">
        <v>64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</row>
    <row r="3" spans="1:17">
      <c r="A3" s="258" t="s">
        <v>149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</row>
    <row r="4" spans="1:17">
      <c r="B4" s="257"/>
      <c r="C4" s="257"/>
      <c r="D4" s="257"/>
      <c r="E4" s="257"/>
      <c r="F4" s="257"/>
      <c r="G4" s="257"/>
      <c r="H4" s="257"/>
      <c r="I4" s="257"/>
      <c r="J4" s="257"/>
    </row>
    <row r="5" spans="1:17" ht="13.8" thickBot="1">
      <c r="B5" s="4"/>
      <c r="P5" s="37"/>
    </row>
    <row r="6" spans="1:17" ht="14.4" thickTop="1">
      <c r="A6" s="252" t="s">
        <v>150</v>
      </c>
      <c r="B6" s="107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9"/>
      <c r="P6" s="38" t="s">
        <v>153</v>
      </c>
    </row>
    <row r="7" spans="1:17">
      <c r="A7" s="39"/>
      <c r="B7" s="40" t="s">
        <v>51</v>
      </c>
      <c r="C7" s="22" t="s">
        <v>52</v>
      </c>
      <c r="D7" s="22" t="s">
        <v>53</v>
      </c>
      <c r="E7" s="22" t="s">
        <v>54</v>
      </c>
      <c r="F7" s="22" t="s">
        <v>55</v>
      </c>
      <c r="G7" s="22" t="s">
        <v>56</v>
      </c>
      <c r="H7" s="22" t="s">
        <v>57</v>
      </c>
      <c r="I7" s="22" t="s">
        <v>58</v>
      </c>
      <c r="J7" s="22" t="s">
        <v>59</v>
      </c>
      <c r="K7" s="22" t="s">
        <v>60</v>
      </c>
      <c r="L7" s="22" t="s">
        <v>61</v>
      </c>
      <c r="M7" s="22" t="s">
        <v>50</v>
      </c>
      <c r="N7" s="41" t="s">
        <v>62</v>
      </c>
      <c r="P7" s="33" t="s">
        <v>151</v>
      </c>
      <c r="Q7" s="22"/>
    </row>
    <row r="8" spans="1:17">
      <c r="A8" s="42" t="s">
        <v>65</v>
      </c>
      <c r="B8" s="43"/>
      <c r="N8" s="44"/>
      <c r="P8" s="45"/>
    </row>
    <row r="9" spans="1:17">
      <c r="A9" s="46" t="s">
        <v>66</v>
      </c>
      <c r="B9" s="47">
        <v>0</v>
      </c>
      <c r="C9" s="23">
        <v>3750</v>
      </c>
      <c r="D9" s="23">
        <v>0</v>
      </c>
      <c r="E9" s="23">
        <v>169750</v>
      </c>
      <c r="F9" s="23">
        <v>50000</v>
      </c>
      <c r="G9" s="23">
        <v>18750</v>
      </c>
      <c r="H9" s="23">
        <v>5000</v>
      </c>
      <c r="I9" s="23">
        <v>46250</v>
      </c>
      <c r="J9" s="23">
        <v>53750</v>
      </c>
      <c r="K9" s="23">
        <v>45250</v>
      </c>
      <c r="L9" s="23">
        <v>46250</v>
      </c>
      <c r="M9" s="23">
        <v>38750</v>
      </c>
      <c r="N9" s="48">
        <f>SUM(B9:M9)</f>
        <v>477500</v>
      </c>
      <c r="P9" s="112">
        <v>470178</v>
      </c>
    </row>
    <row r="10" spans="1:17">
      <c r="A10" s="46" t="s">
        <v>67</v>
      </c>
      <c r="B10" s="47"/>
      <c r="C10" s="35"/>
      <c r="D10" s="35"/>
      <c r="E10" s="35"/>
      <c r="F10" s="35"/>
      <c r="G10" s="35"/>
      <c r="H10" s="35">
        <v>750</v>
      </c>
      <c r="I10" s="35">
        <v>7400</v>
      </c>
      <c r="J10" s="35">
        <v>4300</v>
      </c>
      <c r="K10" s="35">
        <v>21000</v>
      </c>
      <c r="L10" s="35">
        <v>15000</v>
      </c>
      <c r="M10" s="35">
        <v>44100</v>
      </c>
      <c r="N10" s="48">
        <f t="shared" ref="N10:N18" si="0">SUM(B10:M10)</f>
        <v>92550</v>
      </c>
      <c r="P10" s="112">
        <v>145441</v>
      </c>
    </row>
    <row r="11" spans="1:17">
      <c r="A11" s="46" t="s">
        <v>68</v>
      </c>
      <c r="B11" s="97">
        <v>1200</v>
      </c>
      <c r="C11" s="98">
        <v>825</v>
      </c>
      <c r="D11" s="98">
        <v>1150</v>
      </c>
      <c r="E11" s="98">
        <v>700</v>
      </c>
      <c r="F11" s="98">
        <v>1425</v>
      </c>
      <c r="G11" s="98">
        <v>2000</v>
      </c>
      <c r="H11" s="98">
        <v>1750</v>
      </c>
      <c r="I11" s="98">
        <v>1750</v>
      </c>
      <c r="J11" s="98">
        <v>1625</v>
      </c>
      <c r="K11" s="98">
        <v>1100</v>
      </c>
      <c r="L11" s="106">
        <v>1200</v>
      </c>
      <c r="M11" s="98">
        <v>1200</v>
      </c>
      <c r="N11" s="48">
        <f>SUM(B11:M11)</f>
        <v>15925</v>
      </c>
      <c r="P11" s="112">
        <v>22830</v>
      </c>
    </row>
    <row r="12" spans="1:17">
      <c r="A12" s="46" t="s">
        <v>69</v>
      </c>
      <c r="B12" s="47">
        <v>0</v>
      </c>
      <c r="C12" s="35">
        <v>0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48">
        <f>SUM(B12:M12)</f>
        <v>0</v>
      </c>
      <c r="P12" s="112">
        <v>0</v>
      </c>
    </row>
    <row r="13" spans="1:17" s="4" customFormat="1">
      <c r="A13" s="46" t="s">
        <v>139</v>
      </c>
      <c r="B13" s="9">
        <v>0</v>
      </c>
      <c r="C13" s="31">
        <v>0</v>
      </c>
      <c r="D13" s="31">
        <v>21000</v>
      </c>
      <c r="E13" s="35">
        <v>0</v>
      </c>
      <c r="F13" s="35">
        <v>0</v>
      </c>
      <c r="G13" s="35">
        <v>21450</v>
      </c>
      <c r="H13" s="35">
        <v>0</v>
      </c>
      <c r="I13" s="35">
        <v>4000</v>
      </c>
      <c r="J13" s="35">
        <v>45450</v>
      </c>
      <c r="K13" s="35">
        <v>72000</v>
      </c>
      <c r="L13" s="35">
        <v>12000</v>
      </c>
      <c r="M13" s="31">
        <v>38450</v>
      </c>
      <c r="N13" s="10">
        <f>SUM(B13:M13)</f>
        <v>214350</v>
      </c>
      <c r="P13" s="112">
        <v>115457</v>
      </c>
    </row>
    <row r="14" spans="1:17" s="4" customFormat="1">
      <c r="A14" s="46" t="s">
        <v>138</v>
      </c>
      <c r="B14" s="9">
        <v>136355.62</v>
      </c>
      <c r="C14" s="31">
        <v>425450</v>
      </c>
      <c r="D14" s="31">
        <v>34950</v>
      </c>
      <c r="E14" s="35">
        <v>9950</v>
      </c>
      <c r="F14" s="35">
        <v>30950</v>
      </c>
      <c r="G14" s="35">
        <v>10450</v>
      </c>
      <c r="H14" s="35">
        <v>31450</v>
      </c>
      <c r="I14" s="35">
        <v>45250</v>
      </c>
      <c r="J14" s="35">
        <v>25377.38</v>
      </c>
      <c r="K14" s="35">
        <v>18750</v>
      </c>
      <c r="L14" s="35">
        <v>8750</v>
      </c>
      <c r="M14" s="31">
        <v>205750</v>
      </c>
      <c r="N14" s="10">
        <f>SUM(B14:M14)</f>
        <v>983433</v>
      </c>
      <c r="P14" s="112">
        <v>438826</v>
      </c>
    </row>
    <row r="15" spans="1:17" s="4" customFormat="1">
      <c r="A15" s="46" t="s">
        <v>140</v>
      </c>
      <c r="B15" s="9">
        <v>0</v>
      </c>
      <c r="C15" s="31">
        <v>20000</v>
      </c>
      <c r="D15" s="31">
        <v>0</v>
      </c>
      <c r="E15" s="35">
        <v>0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1">
        <v>0</v>
      </c>
      <c r="N15" s="10">
        <f>SUM(B15:M15)</f>
        <v>20000</v>
      </c>
      <c r="P15" s="112">
        <v>1000</v>
      </c>
    </row>
    <row r="16" spans="1:17">
      <c r="A16" s="46" t="s">
        <v>137</v>
      </c>
      <c r="B16" s="111">
        <v>12833</v>
      </c>
      <c r="C16" s="106">
        <v>12833</v>
      </c>
      <c r="D16" s="106">
        <v>12833</v>
      </c>
      <c r="E16" s="106">
        <v>12833</v>
      </c>
      <c r="F16" s="106">
        <v>12833</v>
      </c>
      <c r="G16" s="106">
        <v>14333</v>
      </c>
      <c r="H16" s="106">
        <v>14333</v>
      </c>
      <c r="I16" s="106">
        <v>14333</v>
      </c>
      <c r="J16" s="106">
        <v>14333</v>
      </c>
      <c r="K16" s="106">
        <v>14333</v>
      </c>
      <c r="L16" s="106">
        <v>14333</v>
      </c>
      <c r="M16" s="35">
        <v>14333</v>
      </c>
      <c r="N16" s="48">
        <f t="shared" si="0"/>
        <v>164496</v>
      </c>
      <c r="P16" s="112">
        <v>163302</v>
      </c>
    </row>
    <row r="17" spans="1:16">
      <c r="A17" s="46" t="s">
        <v>130</v>
      </c>
      <c r="B17" s="97">
        <v>2000</v>
      </c>
      <c r="C17" s="98">
        <v>36000</v>
      </c>
      <c r="D17" s="98">
        <v>50675</v>
      </c>
      <c r="E17" s="98">
        <v>24000</v>
      </c>
      <c r="F17" s="98">
        <v>13500</v>
      </c>
      <c r="G17" s="98">
        <v>6500</v>
      </c>
      <c r="H17" s="98">
        <v>13000</v>
      </c>
      <c r="I17" s="98">
        <v>50820</v>
      </c>
      <c r="J17" s="98">
        <v>33000</v>
      </c>
      <c r="K17" s="98">
        <v>0</v>
      </c>
      <c r="L17" s="106">
        <v>0</v>
      </c>
      <c r="M17" s="35">
        <v>0</v>
      </c>
      <c r="N17" s="48">
        <f t="shared" si="0"/>
        <v>229495</v>
      </c>
      <c r="P17" s="112">
        <v>227160</v>
      </c>
    </row>
    <row r="18" spans="1:16">
      <c r="A18" s="49" t="s">
        <v>70</v>
      </c>
      <c r="B18" s="47">
        <v>1000</v>
      </c>
      <c r="C18" s="35">
        <v>1000</v>
      </c>
      <c r="D18" s="35">
        <v>1500</v>
      </c>
      <c r="E18" s="35">
        <v>1500</v>
      </c>
      <c r="F18" s="35">
        <v>1500</v>
      </c>
      <c r="G18" s="35">
        <v>1500</v>
      </c>
      <c r="H18" s="35">
        <v>1500</v>
      </c>
      <c r="I18" s="35">
        <v>1500</v>
      </c>
      <c r="J18" s="35">
        <v>1500</v>
      </c>
      <c r="K18" s="35">
        <v>1500</v>
      </c>
      <c r="L18" s="35">
        <v>2000</v>
      </c>
      <c r="M18" s="35">
        <v>4000</v>
      </c>
      <c r="N18" s="48">
        <f t="shared" si="0"/>
        <v>20000</v>
      </c>
      <c r="P18" s="112">
        <v>33883</v>
      </c>
    </row>
    <row r="19" spans="1:16">
      <c r="A19" s="49"/>
      <c r="B19" s="50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51"/>
      <c r="P19" s="112"/>
    </row>
    <row r="20" spans="1:16" s="4" customFormat="1">
      <c r="A20" s="52" t="s">
        <v>71</v>
      </c>
      <c r="B20" s="53">
        <f>SUM(B9:B19)</f>
        <v>153388.62</v>
      </c>
      <c r="C20" s="24">
        <f t="shared" ref="C20:M20" si="1">SUM(C9:C19)</f>
        <v>499858</v>
      </c>
      <c r="D20" s="24">
        <f t="shared" si="1"/>
        <v>122108</v>
      </c>
      <c r="E20" s="24">
        <f t="shared" si="1"/>
        <v>218733</v>
      </c>
      <c r="F20" s="24">
        <f t="shared" si="1"/>
        <v>110208</v>
      </c>
      <c r="G20" s="24">
        <f t="shared" si="1"/>
        <v>74983</v>
      </c>
      <c r="H20" s="24">
        <f t="shared" si="1"/>
        <v>67783</v>
      </c>
      <c r="I20" s="24">
        <f t="shared" si="1"/>
        <v>171303</v>
      </c>
      <c r="J20" s="24">
        <f t="shared" si="1"/>
        <v>179335.38</v>
      </c>
      <c r="K20" s="24">
        <f t="shared" si="1"/>
        <v>173933</v>
      </c>
      <c r="L20" s="24">
        <f t="shared" si="1"/>
        <v>99533</v>
      </c>
      <c r="M20" s="24">
        <f t="shared" si="1"/>
        <v>346583</v>
      </c>
      <c r="N20" s="54">
        <f>SUM(N9:N19)</f>
        <v>2217749</v>
      </c>
      <c r="P20" s="113">
        <v>1618077</v>
      </c>
    </row>
    <row r="21" spans="1:16">
      <c r="A21" s="55"/>
      <c r="B21" s="56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57"/>
      <c r="P21" s="114"/>
    </row>
    <row r="22" spans="1:16">
      <c r="A22" s="42" t="s">
        <v>72</v>
      </c>
      <c r="B22" s="58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59"/>
      <c r="P22" s="115"/>
    </row>
    <row r="23" spans="1:16">
      <c r="A23" s="46" t="s">
        <v>73</v>
      </c>
      <c r="B23" s="47">
        <v>0</v>
      </c>
      <c r="C23" s="35">
        <v>2250</v>
      </c>
      <c r="D23" s="35">
        <v>0</v>
      </c>
      <c r="E23" s="35">
        <v>101850</v>
      </c>
      <c r="F23" s="35">
        <v>30000</v>
      </c>
      <c r="G23" s="35">
        <v>11250</v>
      </c>
      <c r="H23" s="35">
        <v>3000</v>
      </c>
      <c r="I23" s="35">
        <v>27750</v>
      </c>
      <c r="J23" s="35">
        <v>32250</v>
      </c>
      <c r="K23" s="35">
        <v>27150</v>
      </c>
      <c r="L23" s="35">
        <v>27750</v>
      </c>
      <c r="M23" s="35">
        <v>23250</v>
      </c>
      <c r="N23" s="48">
        <f>SUM(B23:M23)</f>
        <v>286500</v>
      </c>
      <c r="P23" s="112">
        <v>266518</v>
      </c>
    </row>
    <row r="24" spans="1:16">
      <c r="A24" s="46" t="s">
        <v>74</v>
      </c>
      <c r="B24" s="47">
        <v>0</v>
      </c>
      <c r="C24" s="35">
        <v>0</v>
      </c>
      <c r="D24" s="35">
        <v>0</v>
      </c>
      <c r="E24" s="35">
        <v>0</v>
      </c>
      <c r="F24" s="35">
        <v>0</v>
      </c>
      <c r="G24" s="35">
        <v>0</v>
      </c>
      <c r="H24" s="35">
        <v>550</v>
      </c>
      <c r="I24" s="35">
        <v>5000</v>
      </c>
      <c r="J24" s="35">
        <v>2800</v>
      </c>
      <c r="K24" s="35">
        <v>14400</v>
      </c>
      <c r="L24" s="35">
        <v>9800</v>
      </c>
      <c r="M24" s="35">
        <v>25000</v>
      </c>
      <c r="N24" s="48">
        <f>SUM(B24:M24)</f>
        <v>57550</v>
      </c>
      <c r="P24" s="112">
        <v>79749</v>
      </c>
    </row>
    <row r="25" spans="1:16" s="4" customFormat="1">
      <c r="A25" s="46" t="s">
        <v>75</v>
      </c>
      <c r="B25" s="47">
        <v>0</v>
      </c>
      <c r="C25" s="35">
        <v>0</v>
      </c>
      <c r="D25" s="35">
        <v>0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48">
        <f>SUM(B25:M25)</f>
        <v>0</v>
      </c>
      <c r="P25" s="112">
        <v>0</v>
      </c>
    </row>
    <row r="26" spans="1:16">
      <c r="A26" s="46"/>
      <c r="B26" s="50"/>
      <c r="C26" s="99"/>
      <c r="D26" s="99"/>
      <c r="E26" s="99"/>
      <c r="F26" s="99"/>
      <c r="G26" s="99"/>
      <c r="H26" s="99"/>
      <c r="I26" s="106"/>
      <c r="J26" s="106"/>
      <c r="K26" s="106"/>
      <c r="L26" s="106" t="s">
        <v>133</v>
      </c>
      <c r="M26" s="106"/>
      <c r="N26" s="51"/>
      <c r="P26" s="112"/>
    </row>
    <row r="27" spans="1:16">
      <c r="A27" s="39"/>
      <c r="B27" s="50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51"/>
      <c r="P27" s="112"/>
    </row>
    <row r="28" spans="1:16">
      <c r="A28" s="39"/>
      <c r="B28" s="50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60"/>
      <c r="P28" s="112"/>
    </row>
    <row r="29" spans="1:16">
      <c r="A29" s="61" t="s">
        <v>76</v>
      </c>
      <c r="B29" s="53">
        <f>SUM(B23:B28)</f>
        <v>0</v>
      </c>
      <c r="C29" s="24">
        <f t="shared" ref="C29:M29" si="2">SUM(C23:C28)</f>
        <v>2250</v>
      </c>
      <c r="D29" s="24">
        <f t="shared" si="2"/>
        <v>0</v>
      </c>
      <c r="E29" s="24">
        <f t="shared" si="2"/>
        <v>101850</v>
      </c>
      <c r="F29" s="24">
        <f t="shared" si="2"/>
        <v>30000</v>
      </c>
      <c r="G29" s="24">
        <f t="shared" si="2"/>
        <v>11250</v>
      </c>
      <c r="H29" s="24">
        <f t="shared" si="2"/>
        <v>3550</v>
      </c>
      <c r="I29" s="24">
        <f t="shared" si="2"/>
        <v>32750</v>
      </c>
      <c r="J29" s="24">
        <f>SUM(J23:J28)</f>
        <v>35050</v>
      </c>
      <c r="K29" s="24">
        <f t="shared" si="2"/>
        <v>41550</v>
      </c>
      <c r="L29" s="24">
        <f t="shared" si="2"/>
        <v>37550</v>
      </c>
      <c r="M29" s="24">
        <f t="shared" si="2"/>
        <v>48250</v>
      </c>
      <c r="N29" s="54">
        <f>SUM(N23:N28)</f>
        <v>344050</v>
      </c>
      <c r="P29" s="113">
        <v>346267</v>
      </c>
    </row>
    <row r="30" spans="1:16">
      <c r="A30" s="55"/>
      <c r="B30" s="6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63"/>
      <c r="P30" s="116"/>
    </row>
    <row r="31" spans="1:16" s="4" customFormat="1">
      <c r="A31" s="61" t="s">
        <v>77</v>
      </c>
      <c r="B31" s="53">
        <f>B20-B29</f>
        <v>153388.62</v>
      </c>
      <c r="C31" s="24">
        <f t="shared" ref="C31:M31" si="3">C20-C29</f>
        <v>497608</v>
      </c>
      <c r="D31" s="24">
        <f t="shared" si="3"/>
        <v>122108</v>
      </c>
      <c r="E31" s="24">
        <f t="shared" si="3"/>
        <v>116883</v>
      </c>
      <c r="F31" s="24">
        <f t="shared" si="3"/>
        <v>80208</v>
      </c>
      <c r="G31" s="24">
        <f t="shared" si="3"/>
        <v>63733</v>
      </c>
      <c r="H31" s="24">
        <f t="shared" si="3"/>
        <v>64233</v>
      </c>
      <c r="I31" s="24">
        <f t="shared" si="3"/>
        <v>138553</v>
      </c>
      <c r="J31" s="24">
        <f t="shared" si="3"/>
        <v>144285.38</v>
      </c>
      <c r="K31" s="24">
        <f t="shared" si="3"/>
        <v>132383</v>
      </c>
      <c r="L31" s="24">
        <f t="shared" si="3"/>
        <v>61983</v>
      </c>
      <c r="M31" s="24">
        <f t="shared" si="3"/>
        <v>298333</v>
      </c>
      <c r="N31" s="54">
        <f>N20-N29</f>
        <v>1873699</v>
      </c>
      <c r="P31" s="113">
        <f>P20-P29</f>
        <v>1271810</v>
      </c>
    </row>
    <row r="32" spans="1:16" s="4" customFormat="1">
      <c r="A32" s="46"/>
      <c r="B32" s="62"/>
      <c r="C32" s="102" t="s">
        <v>133</v>
      </c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63"/>
      <c r="P32" s="116"/>
    </row>
    <row r="33" spans="1:16">
      <c r="A33" s="42" t="s">
        <v>78</v>
      </c>
      <c r="B33" s="58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59"/>
      <c r="P33" s="115"/>
    </row>
    <row r="34" spans="1:16" ht="14.4">
      <c r="A34" s="64" t="s">
        <v>79</v>
      </c>
      <c r="B34" s="50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51"/>
      <c r="P34" s="112"/>
    </row>
    <row r="35" spans="1:16">
      <c r="A35" s="136" t="s">
        <v>80</v>
      </c>
      <c r="B35" s="47">
        <v>5130</v>
      </c>
      <c r="C35" s="35">
        <v>5130</v>
      </c>
      <c r="D35" s="35">
        <v>5130</v>
      </c>
      <c r="E35" s="35">
        <v>4900</v>
      </c>
      <c r="F35" s="35">
        <v>4900</v>
      </c>
      <c r="G35" s="35">
        <v>4900</v>
      </c>
      <c r="H35" s="35">
        <v>4900</v>
      </c>
      <c r="I35" s="35">
        <v>4900</v>
      </c>
      <c r="J35" s="35">
        <v>4900</v>
      </c>
      <c r="K35" s="35">
        <v>4900</v>
      </c>
      <c r="L35" s="35">
        <v>4900</v>
      </c>
      <c r="M35" s="35">
        <v>4900</v>
      </c>
      <c r="N35" s="48">
        <f>SUM(B35:M35)</f>
        <v>59490</v>
      </c>
      <c r="P35" s="112">
        <v>61976</v>
      </c>
    </row>
    <row r="36" spans="1:16">
      <c r="A36" s="65" t="s">
        <v>81</v>
      </c>
      <c r="B36" s="47">
        <v>0</v>
      </c>
      <c r="C36" s="35">
        <v>0</v>
      </c>
      <c r="D36" s="35">
        <v>0</v>
      </c>
      <c r="E36" s="35">
        <v>0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5">
        <v>0</v>
      </c>
      <c r="L36" s="35">
        <v>0</v>
      </c>
      <c r="M36" s="35">
        <v>0</v>
      </c>
      <c r="N36" s="48">
        <f t="shared" ref="N36:N44" si="4">SUM(B36:M36)</f>
        <v>0</v>
      </c>
      <c r="P36" s="112">
        <v>0</v>
      </c>
    </row>
    <row r="37" spans="1:16">
      <c r="A37" s="46" t="s">
        <v>82</v>
      </c>
      <c r="B37" s="97">
        <v>500</v>
      </c>
      <c r="C37" s="98">
        <v>500</v>
      </c>
      <c r="D37" s="98">
        <v>500</v>
      </c>
      <c r="E37" s="98">
        <v>500</v>
      </c>
      <c r="F37" s="98">
        <v>500</v>
      </c>
      <c r="G37" s="98">
        <v>500</v>
      </c>
      <c r="H37" s="98">
        <v>500</v>
      </c>
      <c r="I37" s="98">
        <v>500</v>
      </c>
      <c r="J37" s="98">
        <v>500</v>
      </c>
      <c r="K37" s="98">
        <v>500</v>
      </c>
      <c r="L37" s="106">
        <v>500</v>
      </c>
      <c r="M37" s="35">
        <v>500</v>
      </c>
      <c r="N37" s="48">
        <f t="shared" si="4"/>
        <v>6000</v>
      </c>
      <c r="P37" s="112">
        <v>3890</v>
      </c>
    </row>
    <row r="38" spans="1:16" s="4" customFormat="1">
      <c r="A38" s="46" t="s">
        <v>83</v>
      </c>
      <c r="B38" s="97">
        <v>250</v>
      </c>
      <c r="C38" s="98">
        <v>250</v>
      </c>
      <c r="D38" s="98">
        <v>250</v>
      </c>
      <c r="E38" s="98">
        <v>250</v>
      </c>
      <c r="F38" s="98">
        <v>250</v>
      </c>
      <c r="G38" s="98">
        <v>250</v>
      </c>
      <c r="H38" s="98">
        <v>250</v>
      </c>
      <c r="I38" s="98">
        <v>250</v>
      </c>
      <c r="J38" s="98">
        <v>250</v>
      </c>
      <c r="K38" s="98">
        <v>250</v>
      </c>
      <c r="L38" s="98">
        <v>250</v>
      </c>
      <c r="M38" s="98">
        <v>250</v>
      </c>
      <c r="N38" s="48">
        <f t="shared" si="4"/>
        <v>3000</v>
      </c>
      <c r="P38" s="112">
        <v>1970</v>
      </c>
    </row>
    <row r="39" spans="1:16">
      <c r="A39" s="49" t="s">
        <v>84</v>
      </c>
      <c r="B39" s="111">
        <v>800</v>
      </c>
      <c r="C39" s="98">
        <v>1200</v>
      </c>
      <c r="D39" s="98">
        <v>1200</v>
      </c>
      <c r="E39" s="98">
        <v>900</v>
      </c>
      <c r="F39" s="98">
        <v>500</v>
      </c>
      <c r="G39" s="98">
        <v>350</v>
      </c>
      <c r="H39" s="98">
        <v>900</v>
      </c>
      <c r="I39" s="98">
        <v>2500</v>
      </c>
      <c r="J39" s="98">
        <v>600</v>
      </c>
      <c r="K39" s="98">
        <v>750</v>
      </c>
      <c r="L39" s="106">
        <v>1000</v>
      </c>
      <c r="M39" s="35">
        <v>2000</v>
      </c>
      <c r="N39" s="48">
        <f t="shared" si="4"/>
        <v>12700</v>
      </c>
      <c r="P39" s="112">
        <v>17250</v>
      </c>
    </row>
    <row r="40" spans="1:16" s="4" customFormat="1">
      <c r="A40" s="66" t="s">
        <v>85</v>
      </c>
      <c r="B40" s="47">
        <v>25</v>
      </c>
      <c r="C40" s="35">
        <v>25</v>
      </c>
      <c r="D40" s="35">
        <v>100</v>
      </c>
      <c r="E40" s="35">
        <v>25</v>
      </c>
      <c r="F40" s="35">
        <v>25</v>
      </c>
      <c r="G40" s="35">
        <v>100</v>
      </c>
      <c r="H40" s="35">
        <v>25</v>
      </c>
      <c r="I40" s="35">
        <v>25</v>
      </c>
      <c r="J40" s="35">
        <v>100</v>
      </c>
      <c r="K40" s="35">
        <v>25</v>
      </c>
      <c r="L40" s="35">
        <v>25</v>
      </c>
      <c r="M40" s="35">
        <v>100</v>
      </c>
      <c r="N40" s="48">
        <f t="shared" si="4"/>
        <v>600</v>
      </c>
      <c r="P40" s="112">
        <v>437</v>
      </c>
    </row>
    <row r="41" spans="1:16" s="4" customFormat="1">
      <c r="A41" s="46" t="s">
        <v>86</v>
      </c>
      <c r="B41" s="47">
        <v>0</v>
      </c>
      <c r="C41" s="35">
        <v>0</v>
      </c>
      <c r="D41" s="35">
        <v>0</v>
      </c>
      <c r="E41" s="35">
        <v>0</v>
      </c>
      <c r="F41" s="35">
        <v>0</v>
      </c>
      <c r="G41" s="35">
        <v>0</v>
      </c>
      <c r="H41" s="35">
        <v>0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48">
        <f t="shared" si="4"/>
        <v>0</v>
      </c>
      <c r="P41" s="112">
        <v>0</v>
      </c>
    </row>
    <row r="42" spans="1:16" s="4" customFormat="1">
      <c r="A42" s="46" t="s">
        <v>87</v>
      </c>
      <c r="B42" s="47">
        <v>0</v>
      </c>
      <c r="C42" s="35">
        <v>0</v>
      </c>
      <c r="D42" s="35">
        <v>0</v>
      </c>
      <c r="E42" s="35">
        <v>0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48">
        <f>SUM(B42:M42)</f>
        <v>0</v>
      </c>
      <c r="P42" s="112">
        <v>0</v>
      </c>
    </row>
    <row r="43" spans="1:16" s="4" customFormat="1">
      <c r="A43" s="46" t="s">
        <v>88</v>
      </c>
      <c r="B43" s="47">
        <v>0</v>
      </c>
      <c r="C43" s="35">
        <v>0</v>
      </c>
      <c r="D43" s="35">
        <v>0</v>
      </c>
      <c r="E43" s="35">
        <v>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48">
        <f t="shared" si="4"/>
        <v>0</v>
      </c>
      <c r="P43" s="112">
        <v>0</v>
      </c>
    </row>
    <row r="44" spans="1:16" s="4" customFormat="1">
      <c r="A44" s="46" t="s">
        <v>89</v>
      </c>
      <c r="B44" s="47">
        <v>0</v>
      </c>
      <c r="C44" s="35">
        <v>0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>
        <v>0</v>
      </c>
      <c r="M44" s="35">
        <v>0</v>
      </c>
      <c r="N44" s="48">
        <f t="shared" si="4"/>
        <v>0</v>
      </c>
      <c r="P44" s="112">
        <v>0</v>
      </c>
    </row>
    <row r="45" spans="1:16">
      <c r="A45" s="46" t="s">
        <v>90</v>
      </c>
      <c r="B45" s="47">
        <v>245</v>
      </c>
      <c r="C45" s="35">
        <v>100</v>
      </c>
      <c r="D45" s="35">
        <v>100</v>
      </c>
      <c r="E45" s="35">
        <v>245</v>
      </c>
      <c r="F45" s="35">
        <v>100</v>
      </c>
      <c r="G45" s="35">
        <v>100</v>
      </c>
      <c r="H45" s="35">
        <v>245</v>
      </c>
      <c r="I45" s="35">
        <v>100</v>
      </c>
      <c r="J45" s="35">
        <v>100</v>
      </c>
      <c r="K45" s="35">
        <v>245</v>
      </c>
      <c r="L45" s="35">
        <v>100</v>
      </c>
      <c r="M45" s="35">
        <v>100</v>
      </c>
      <c r="N45" s="48">
        <f>SUM(B45:M45)</f>
        <v>1780</v>
      </c>
      <c r="P45" s="112">
        <v>5280</v>
      </c>
    </row>
    <row r="46" spans="1:16" s="4" customFormat="1">
      <c r="A46" s="46" t="s">
        <v>70</v>
      </c>
      <c r="B46" s="67">
        <v>25</v>
      </c>
      <c r="C46" s="26">
        <v>25</v>
      </c>
      <c r="D46" s="26">
        <v>25</v>
      </c>
      <c r="E46" s="26">
        <v>25</v>
      </c>
      <c r="F46" s="26">
        <v>25</v>
      </c>
      <c r="G46" s="26">
        <v>25</v>
      </c>
      <c r="H46" s="26">
        <v>25</v>
      </c>
      <c r="I46" s="26">
        <v>25</v>
      </c>
      <c r="J46" s="26">
        <v>25</v>
      </c>
      <c r="K46" s="26">
        <v>25</v>
      </c>
      <c r="L46" s="26">
        <v>25</v>
      </c>
      <c r="M46" s="26">
        <v>25</v>
      </c>
      <c r="N46" s="68">
        <f>SUM(B46:M46)</f>
        <v>300</v>
      </c>
      <c r="P46" s="117">
        <v>480</v>
      </c>
    </row>
    <row r="47" spans="1:16" ht="14.4">
      <c r="A47" s="69" t="s">
        <v>91</v>
      </c>
      <c r="B47" s="53">
        <f>SUM(B35:B46)</f>
        <v>6975</v>
      </c>
      <c r="C47" s="24">
        <f t="shared" ref="C47:M47" si="5">SUM(C35:C46)</f>
        <v>7230</v>
      </c>
      <c r="D47" s="24">
        <f t="shared" si="5"/>
        <v>7305</v>
      </c>
      <c r="E47" s="24">
        <f t="shared" si="5"/>
        <v>6845</v>
      </c>
      <c r="F47" s="24">
        <f t="shared" si="5"/>
        <v>6300</v>
      </c>
      <c r="G47" s="24">
        <f t="shared" si="5"/>
        <v>6225</v>
      </c>
      <c r="H47" s="24">
        <f t="shared" si="5"/>
        <v>6845</v>
      </c>
      <c r="I47" s="24">
        <f t="shared" si="5"/>
        <v>8300</v>
      </c>
      <c r="J47" s="24">
        <f t="shared" si="5"/>
        <v>6475</v>
      </c>
      <c r="K47" s="24">
        <f t="shared" si="5"/>
        <v>6695</v>
      </c>
      <c r="L47" s="24">
        <f t="shared" si="5"/>
        <v>6800</v>
      </c>
      <c r="M47" s="24">
        <f t="shared" si="5"/>
        <v>7875</v>
      </c>
      <c r="N47" s="70">
        <f>SUM(N35:N46)</f>
        <v>83870</v>
      </c>
      <c r="P47" s="114">
        <f>SUM(P35:P46)</f>
        <v>91283</v>
      </c>
    </row>
    <row r="48" spans="1:16" ht="14.4">
      <c r="A48" s="69"/>
      <c r="B48" s="50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71"/>
      <c r="P48" s="112"/>
    </row>
    <row r="49" spans="1:16" ht="14.4">
      <c r="A49" s="64" t="s">
        <v>119</v>
      </c>
      <c r="B49" s="50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51"/>
      <c r="P49" s="112"/>
    </row>
    <row r="50" spans="1:16" s="4" customFormat="1">
      <c r="A50" s="136" t="s">
        <v>80</v>
      </c>
      <c r="B50" s="47">
        <v>15670</v>
      </c>
      <c r="C50" s="35">
        <v>15670</v>
      </c>
      <c r="D50" s="35">
        <v>15670</v>
      </c>
      <c r="E50" s="35">
        <v>12260</v>
      </c>
      <c r="F50" s="35">
        <v>12260</v>
      </c>
      <c r="G50" s="35">
        <v>12260</v>
      </c>
      <c r="H50" s="35">
        <v>12260</v>
      </c>
      <c r="I50" s="35">
        <v>12260</v>
      </c>
      <c r="J50" s="35">
        <v>12260</v>
      </c>
      <c r="K50" s="35">
        <v>12260</v>
      </c>
      <c r="L50" s="35">
        <v>12260</v>
      </c>
      <c r="M50" s="35">
        <v>12260</v>
      </c>
      <c r="N50" s="48">
        <f t="shared" ref="N50:N58" si="6">SUM(B50:M50)</f>
        <v>157350</v>
      </c>
      <c r="P50" s="112">
        <v>117002</v>
      </c>
    </row>
    <row r="51" spans="1:16" s="4" customFormat="1">
      <c r="A51" s="46" t="s">
        <v>82</v>
      </c>
      <c r="B51" s="97">
        <v>1000</v>
      </c>
      <c r="C51" s="98">
        <v>1000</v>
      </c>
      <c r="D51" s="98">
        <v>1000</v>
      </c>
      <c r="E51" s="98">
        <v>1000</v>
      </c>
      <c r="F51" s="98">
        <v>1000</v>
      </c>
      <c r="G51" s="98">
        <v>1000</v>
      </c>
      <c r="H51" s="98">
        <v>1000</v>
      </c>
      <c r="I51" s="98">
        <v>1000</v>
      </c>
      <c r="J51" s="98">
        <v>1000</v>
      </c>
      <c r="K51" s="98">
        <v>1000</v>
      </c>
      <c r="L51" s="98">
        <v>1000</v>
      </c>
      <c r="M51" s="98">
        <v>1000</v>
      </c>
      <c r="N51" s="48">
        <f t="shared" si="6"/>
        <v>12000</v>
      </c>
      <c r="P51" s="112">
        <v>8195</v>
      </c>
    </row>
    <row r="52" spans="1:16" s="4" customFormat="1">
      <c r="A52" s="46" t="s">
        <v>70</v>
      </c>
      <c r="B52" s="97">
        <v>2000</v>
      </c>
      <c r="C52" s="98">
        <v>2000</v>
      </c>
      <c r="D52" s="98">
        <v>2000</v>
      </c>
      <c r="E52" s="98">
        <v>2000</v>
      </c>
      <c r="F52" s="98">
        <v>2756</v>
      </c>
      <c r="G52" s="98">
        <v>2000</v>
      </c>
      <c r="H52" s="98">
        <v>2000</v>
      </c>
      <c r="I52" s="98">
        <v>2000</v>
      </c>
      <c r="J52" s="98">
        <v>2000</v>
      </c>
      <c r="K52" s="98">
        <v>2000</v>
      </c>
      <c r="L52" s="98">
        <v>2000</v>
      </c>
      <c r="M52" s="98">
        <v>2000</v>
      </c>
      <c r="N52" s="48">
        <f t="shared" si="6"/>
        <v>24756</v>
      </c>
      <c r="P52" s="112">
        <v>22673</v>
      </c>
    </row>
    <row r="53" spans="1:16" s="4" customFormat="1">
      <c r="A53" s="46" t="s">
        <v>141</v>
      </c>
      <c r="B53" s="9">
        <v>7950</v>
      </c>
      <c r="C53" s="31">
        <v>8150</v>
      </c>
      <c r="D53" s="31">
        <v>16750</v>
      </c>
      <c r="E53" s="35">
        <v>10450</v>
      </c>
      <c r="F53" s="35">
        <v>11450</v>
      </c>
      <c r="G53" s="35">
        <v>11450</v>
      </c>
      <c r="H53" s="35">
        <v>20283</v>
      </c>
      <c r="I53" s="35">
        <v>40283</v>
      </c>
      <c r="J53" s="35">
        <v>87283</v>
      </c>
      <c r="K53" s="35">
        <v>14283</v>
      </c>
      <c r="L53" s="35">
        <v>14283</v>
      </c>
      <c r="M53" s="31">
        <v>14285</v>
      </c>
      <c r="N53" s="10">
        <f t="shared" si="6"/>
        <v>256900</v>
      </c>
      <c r="P53" s="112">
        <v>165324</v>
      </c>
    </row>
    <row r="54" spans="1:16" s="4" customFormat="1">
      <c r="A54" s="46" t="s">
        <v>142</v>
      </c>
      <c r="B54" s="9">
        <v>133338</v>
      </c>
      <c r="C54" s="31">
        <v>410588</v>
      </c>
      <c r="D54" s="31">
        <v>50763</v>
      </c>
      <c r="E54" s="35">
        <v>13763</v>
      </c>
      <c r="F54" s="35">
        <v>32763</v>
      </c>
      <c r="G54" s="35">
        <v>13513</v>
      </c>
      <c r="H54" s="35">
        <v>31513</v>
      </c>
      <c r="I54" s="35">
        <v>48513</v>
      </c>
      <c r="J54" s="35">
        <v>29588</v>
      </c>
      <c r="K54" s="35">
        <v>19088</v>
      </c>
      <c r="L54" s="35">
        <v>9838</v>
      </c>
      <c r="M54" s="31">
        <v>208338</v>
      </c>
      <c r="N54" s="10">
        <f>SUM(B54:M54)</f>
        <v>1001606</v>
      </c>
      <c r="P54" s="112">
        <v>463023</v>
      </c>
    </row>
    <row r="55" spans="1:16" s="4" customFormat="1">
      <c r="A55" s="46" t="s">
        <v>144</v>
      </c>
      <c r="B55" s="9">
        <v>0</v>
      </c>
      <c r="C55" s="31">
        <v>0</v>
      </c>
      <c r="D55" s="31">
        <v>0</v>
      </c>
      <c r="E55" s="35">
        <v>0</v>
      </c>
      <c r="F55" s="35">
        <v>0</v>
      </c>
      <c r="G55" s="35">
        <v>0</v>
      </c>
      <c r="H55" s="35">
        <v>0</v>
      </c>
      <c r="I55" s="35">
        <v>0</v>
      </c>
      <c r="J55" s="35">
        <v>0</v>
      </c>
      <c r="K55" s="35">
        <v>0</v>
      </c>
      <c r="L55" s="35">
        <v>0</v>
      </c>
      <c r="M55" s="31">
        <v>0</v>
      </c>
      <c r="N55" s="10">
        <f>SUM(B55:M55)</f>
        <v>0</v>
      </c>
      <c r="P55" s="112">
        <v>16217</v>
      </c>
    </row>
    <row r="56" spans="1:16" s="4" customFormat="1">
      <c r="A56" s="46" t="s">
        <v>143</v>
      </c>
      <c r="B56" s="111">
        <v>12833</v>
      </c>
      <c r="C56" s="106">
        <v>12833</v>
      </c>
      <c r="D56" s="106">
        <v>12833</v>
      </c>
      <c r="E56" s="106">
        <v>12833</v>
      </c>
      <c r="F56" s="106">
        <v>12833</v>
      </c>
      <c r="G56" s="106">
        <v>14333</v>
      </c>
      <c r="H56" s="106">
        <v>14333</v>
      </c>
      <c r="I56" s="106">
        <v>14333</v>
      </c>
      <c r="J56" s="106">
        <v>14333</v>
      </c>
      <c r="K56" s="106">
        <v>14333</v>
      </c>
      <c r="L56" s="106">
        <v>14333</v>
      </c>
      <c r="M56" s="35">
        <v>14333</v>
      </c>
      <c r="N56" s="48">
        <f t="shared" si="6"/>
        <v>164496</v>
      </c>
      <c r="P56" s="112">
        <v>153545</v>
      </c>
    </row>
    <row r="57" spans="1:16" s="4" customFormat="1">
      <c r="A57" s="46" t="s">
        <v>129</v>
      </c>
      <c r="B57" s="97">
        <v>2400</v>
      </c>
      <c r="C57" s="98">
        <v>9700</v>
      </c>
      <c r="D57" s="98">
        <v>6200</v>
      </c>
      <c r="E57" s="98">
        <v>5800</v>
      </c>
      <c r="F57" s="98">
        <v>5300</v>
      </c>
      <c r="G57" s="98">
        <v>20100</v>
      </c>
      <c r="H57" s="98">
        <v>13200</v>
      </c>
      <c r="I57" s="98">
        <v>51100</v>
      </c>
      <c r="J57" s="98">
        <v>9500</v>
      </c>
      <c r="K57" s="98">
        <v>200</v>
      </c>
      <c r="L57" s="106">
        <v>200</v>
      </c>
      <c r="M57" s="35">
        <v>200</v>
      </c>
      <c r="N57" s="48">
        <f t="shared" si="6"/>
        <v>123900</v>
      </c>
      <c r="P57" s="112">
        <v>150210</v>
      </c>
    </row>
    <row r="58" spans="1:16" s="4" customFormat="1">
      <c r="A58" s="46" t="s">
        <v>117</v>
      </c>
      <c r="B58" s="135">
        <v>3000</v>
      </c>
      <c r="C58" s="110">
        <v>2200</v>
      </c>
      <c r="D58" s="110">
        <v>1200</v>
      </c>
      <c r="E58" s="110">
        <v>2000</v>
      </c>
      <c r="F58" s="110">
        <v>2000</v>
      </c>
      <c r="G58" s="110">
        <v>1000</v>
      </c>
      <c r="H58" s="110">
        <v>2000</v>
      </c>
      <c r="I58" s="110">
        <v>2000</v>
      </c>
      <c r="J58" s="110">
        <v>2000</v>
      </c>
      <c r="K58" s="110">
        <v>5000</v>
      </c>
      <c r="L58" s="110">
        <v>2000</v>
      </c>
      <c r="M58" s="110">
        <v>2000</v>
      </c>
      <c r="N58" s="68">
        <f t="shared" si="6"/>
        <v>26400</v>
      </c>
      <c r="P58" s="117">
        <v>23983</v>
      </c>
    </row>
    <row r="59" spans="1:16" s="4" customFormat="1" ht="14.4">
      <c r="A59" s="72" t="s">
        <v>62</v>
      </c>
      <c r="B59" s="53">
        <f>SUM(B50:B58)</f>
        <v>178191</v>
      </c>
      <c r="C59" s="24">
        <f t="shared" ref="C59:M59" si="7">SUM(C50:C58)</f>
        <v>462141</v>
      </c>
      <c r="D59" s="24">
        <f t="shared" si="7"/>
        <v>106416</v>
      </c>
      <c r="E59" s="24">
        <f t="shared" si="7"/>
        <v>60106</v>
      </c>
      <c r="F59" s="24">
        <f t="shared" si="7"/>
        <v>80362</v>
      </c>
      <c r="G59" s="24">
        <f t="shared" si="7"/>
        <v>75656</v>
      </c>
      <c r="H59" s="24">
        <f t="shared" si="7"/>
        <v>96589</v>
      </c>
      <c r="I59" s="24">
        <f t="shared" si="7"/>
        <v>171489</v>
      </c>
      <c r="J59" s="24">
        <f t="shared" si="7"/>
        <v>157964</v>
      </c>
      <c r="K59" s="24">
        <f t="shared" si="7"/>
        <v>68164</v>
      </c>
      <c r="L59" s="24">
        <f t="shared" si="7"/>
        <v>55914</v>
      </c>
      <c r="M59" s="24">
        <f t="shared" si="7"/>
        <v>254416</v>
      </c>
      <c r="N59" s="70">
        <f>SUM(N50:N58)</f>
        <v>1767408</v>
      </c>
      <c r="P59" s="114">
        <f>SUM(P50:P58)</f>
        <v>1120172</v>
      </c>
    </row>
    <row r="60" spans="1:16" s="4" customFormat="1">
      <c r="A60" s="46"/>
      <c r="B60" s="47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71"/>
      <c r="P60" s="112"/>
    </row>
    <row r="61" spans="1:16" s="4" customFormat="1" ht="14.4">
      <c r="A61" s="73" t="s">
        <v>92</v>
      </c>
      <c r="B61" s="47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48"/>
      <c r="P61" s="112"/>
    </row>
    <row r="62" spans="1:16" s="4" customFormat="1">
      <c r="A62" s="136" t="s">
        <v>80</v>
      </c>
      <c r="B62" s="47">
        <v>1200</v>
      </c>
      <c r="C62" s="35">
        <v>1200</v>
      </c>
      <c r="D62" s="35">
        <v>1200</v>
      </c>
      <c r="E62" s="35">
        <v>1200</v>
      </c>
      <c r="F62" s="35">
        <v>1200</v>
      </c>
      <c r="G62" s="35">
        <v>1200</v>
      </c>
      <c r="H62" s="35">
        <v>1200</v>
      </c>
      <c r="I62" s="35">
        <v>1200</v>
      </c>
      <c r="J62" s="35">
        <v>1200</v>
      </c>
      <c r="K62" s="35">
        <v>1200</v>
      </c>
      <c r="L62" s="35">
        <v>1200</v>
      </c>
      <c r="M62" s="35">
        <v>1200</v>
      </c>
      <c r="N62" s="48">
        <f>SUM(B62:M62)</f>
        <v>14400</v>
      </c>
      <c r="P62" s="112">
        <v>21325</v>
      </c>
    </row>
    <row r="63" spans="1:16" s="4" customFormat="1">
      <c r="A63" s="46" t="s">
        <v>81</v>
      </c>
      <c r="B63" s="47">
        <v>0</v>
      </c>
      <c r="C63" s="35">
        <v>0</v>
      </c>
      <c r="D63" s="35">
        <v>0</v>
      </c>
      <c r="E63" s="35">
        <v>0</v>
      </c>
      <c r="F63" s="35">
        <v>0</v>
      </c>
      <c r="G63" s="35">
        <v>0</v>
      </c>
      <c r="H63" s="35">
        <v>0</v>
      </c>
      <c r="I63" s="35">
        <v>0</v>
      </c>
      <c r="J63" s="35">
        <v>0</v>
      </c>
      <c r="K63" s="35">
        <v>0</v>
      </c>
      <c r="L63" s="35">
        <v>0</v>
      </c>
      <c r="M63" s="35">
        <v>0</v>
      </c>
      <c r="N63" s="48">
        <f t="shared" ref="N63:N71" si="8">SUM(B63:M63)</f>
        <v>0</v>
      </c>
      <c r="P63" s="112">
        <v>0</v>
      </c>
    </row>
    <row r="64" spans="1:16" s="4" customFormat="1">
      <c r="A64" s="46" t="s">
        <v>82</v>
      </c>
      <c r="B64" s="47">
        <v>0</v>
      </c>
      <c r="C64" s="35">
        <v>0</v>
      </c>
      <c r="D64" s="35">
        <v>0</v>
      </c>
      <c r="E64" s="35">
        <v>0</v>
      </c>
      <c r="F64" s="35">
        <v>0</v>
      </c>
      <c r="G64" s="35">
        <v>0</v>
      </c>
      <c r="H64" s="35">
        <v>0</v>
      </c>
      <c r="I64" s="35">
        <v>0</v>
      </c>
      <c r="J64" s="35">
        <v>0</v>
      </c>
      <c r="K64" s="35">
        <v>0</v>
      </c>
      <c r="L64" s="35">
        <v>0</v>
      </c>
      <c r="M64" s="35">
        <v>0</v>
      </c>
      <c r="N64" s="48">
        <f>SUM(B64:M64)</f>
        <v>0</v>
      </c>
      <c r="P64" s="112">
        <v>0</v>
      </c>
    </row>
    <row r="65" spans="1:16" s="4" customFormat="1">
      <c r="A65" s="46" t="s">
        <v>83</v>
      </c>
      <c r="B65" s="47">
        <v>0</v>
      </c>
      <c r="C65" s="35">
        <v>0</v>
      </c>
      <c r="D65" s="35">
        <v>0</v>
      </c>
      <c r="E65" s="35">
        <v>0</v>
      </c>
      <c r="F65" s="35">
        <v>0</v>
      </c>
      <c r="G65" s="35">
        <v>0</v>
      </c>
      <c r="H65" s="35">
        <v>0</v>
      </c>
      <c r="I65" s="35">
        <v>0</v>
      </c>
      <c r="J65" s="35">
        <v>0</v>
      </c>
      <c r="K65" s="35">
        <v>0</v>
      </c>
      <c r="L65" s="35">
        <v>0</v>
      </c>
      <c r="M65" s="35">
        <v>0</v>
      </c>
      <c r="N65" s="48">
        <f>SUM(B65:M65)</f>
        <v>0</v>
      </c>
      <c r="P65" s="112">
        <v>0</v>
      </c>
    </row>
    <row r="66" spans="1:16" s="4" customFormat="1">
      <c r="A66" s="46" t="s">
        <v>90</v>
      </c>
      <c r="B66" s="97">
        <v>18</v>
      </c>
      <c r="C66" s="98">
        <v>0</v>
      </c>
      <c r="D66" s="98">
        <v>0</v>
      </c>
      <c r="E66" s="98">
        <v>18</v>
      </c>
      <c r="F66" s="98">
        <v>0</v>
      </c>
      <c r="G66" s="98">
        <v>0</v>
      </c>
      <c r="H66" s="98">
        <v>18</v>
      </c>
      <c r="I66" s="98">
        <v>0</v>
      </c>
      <c r="J66" s="98">
        <v>0</v>
      </c>
      <c r="K66" s="98">
        <v>18</v>
      </c>
      <c r="L66" s="106">
        <v>0</v>
      </c>
      <c r="M66" s="35">
        <v>0</v>
      </c>
      <c r="N66" s="48">
        <f t="shared" si="8"/>
        <v>72</v>
      </c>
      <c r="P66" s="112">
        <v>71</v>
      </c>
    </row>
    <row r="67" spans="1:16" s="4" customFormat="1">
      <c r="A67" s="46" t="s">
        <v>93</v>
      </c>
      <c r="B67" s="47">
        <v>600</v>
      </c>
      <c r="C67" s="35">
        <v>600</v>
      </c>
      <c r="D67" s="35">
        <v>600</v>
      </c>
      <c r="E67" s="35">
        <v>600</v>
      </c>
      <c r="F67" s="35">
        <v>600</v>
      </c>
      <c r="G67" s="35">
        <v>600</v>
      </c>
      <c r="H67" s="35">
        <v>600</v>
      </c>
      <c r="I67" s="35">
        <v>600</v>
      </c>
      <c r="J67" s="35">
        <v>600</v>
      </c>
      <c r="K67" s="35">
        <v>600</v>
      </c>
      <c r="L67" s="35">
        <v>600</v>
      </c>
      <c r="M67" s="35">
        <v>600</v>
      </c>
      <c r="N67" s="48">
        <f t="shared" si="8"/>
        <v>7200</v>
      </c>
      <c r="P67" s="112">
        <v>7080</v>
      </c>
    </row>
    <row r="68" spans="1:16" s="4" customFormat="1">
      <c r="A68" s="46" t="s">
        <v>94</v>
      </c>
      <c r="B68" s="97">
        <v>0</v>
      </c>
      <c r="C68" s="98">
        <v>0</v>
      </c>
      <c r="D68" s="98">
        <v>0</v>
      </c>
      <c r="E68" s="98">
        <v>0</v>
      </c>
      <c r="F68" s="98">
        <v>0</v>
      </c>
      <c r="G68" s="98">
        <v>0</v>
      </c>
      <c r="H68" s="98">
        <v>0</v>
      </c>
      <c r="I68" s="98">
        <v>0</v>
      </c>
      <c r="J68" s="98">
        <v>0</v>
      </c>
      <c r="K68" s="98">
        <v>0</v>
      </c>
      <c r="L68" s="106">
        <v>0</v>
      </c>
      <c r="M68" s="35">
        <v>0</v>
      </c>
      <c r="N68" s="48">
        <f t="shared" si="8"/>
        <v>0</v>
      </c>
      <c r="P68" s="112">
        <v>56</v>
      </c>
    </row>
    <row r="69" spans="1:16" s="4" customFormat="1">
      <c r="A69" s="46" t="s">
        <v>95</v>
      </c>
      <c r="B69" s="47">
        <v>0</v>
      </c>
      <c r="C69" s="35">
        <v>0</v>
      </c>
      <c r="D69" s="35">
        <v>2730</v>
      </c>
      <c r="E69" s="35">
        <v>2930</v>
      </c>
      <c r="F69" s="35">
        <v>0</v>
      </c>
      <c r="G69" s="35">
        <v>0</v>
      </c>
      <c r="H69" s="35">
        <v>0</v>
      </c>
      <c r="I69" s="35">
        <v>0</v>
      </c>
      <c r="J69" s="35">
        <v>0</v>
      </c>
      <c r="K69" s="35">
        <v>2700</v>
      </c>
      <c r="L69" s="35">
        <v>0</v>
      </c>
      <c r="M69" s="35">
        <v>0</v>
      </c>
      <c r="N69" s="48">
        <f t="shared" si="8"/>
        <v>8360</v>
      </c>
      <c r="P69" s="112">
        <v>7875</v>
      </c>
    </row>
    <row r="70" spans="1:16" s="4" customFormat="1">
      <c r="A70" s="46" t="s">
        <v>96</v>
      </c>
      <c r="B70" s="47">
        <v>20</v>
      </c>
      <c r="C70" s="35">
        <v>20</v>
      </c>
      <c r="D70" s="35">
        <v>20</v>
      </c>
      <c r="E70" s="35">
        <v>20</v>
      </c>
      <c r="F70" s="35">
        <v>20</v>
      </c>
      <c r="G70" s="35">
        <v>20</v>
      </c>
      <c r="H70" s="35">
        <v>20</v>
      </c>
      <c r="I70" s="35">
        <v>20</v>
      </c>
      <c r="J70" s="35">
        <v>20</v>
      </c>
      <c r="K70" s="35">
        <v>20</v>
      </c>
      <c r="L70" s="35">
        <v>20</v>
      </c>
      <c r="M70" s="35">
        <v>20</v>
      </c>
      <c r="N70" s="48">
        <f t="shared" si="8"/>
        <v>240</v>
      </c>
      <c r="P70" s="112">
        <v>84</v>
      </c>
    </row>
    <row r="71" spans="1:16" s="4" customFormat="1">
      <c r="A71" s="46" t="s">
        <v>70</v>
      </c>
      <c r="B71" s="67">
        <v>-775</v>
      </c>
      <c r="C71" s="26">
        <v>-775</v>
      </c>
      <c r="D71" s="26">
        <v>-775</v>
      </c>
      <c r="E71" s="26">
        <v>-775</v>
      </c>
      <c r="F71" s="26">
        <v>-775</v>
      </c>
      <c r="G71" s="26">
        <v>-775</v>
      </c>
      <c r="H71" s="26">
        <v>-775</v>
      </c>
      <c r="I71" s="26">
        <v>-775</v>
      </c>
      <c r="J71" s="26">
        <v>-775</v>
      </c>
      <c r="K71" s="26">
        <v>-775</v>
      </c>
      <c r="L71" s="26">
        <v>-775</v>
      </c>
      <c r="M71" s="26">
        <v>-775</v>
      </c>
      <c r="N71" s="68">
        <f t="shared" si="8"/>
        <v>-9300</v>
      </c>
      <c r="P71" s="117">
        <v>-21343</v>
      </c>
    </row>
    <row r="72" spans="1:16" s="4" customFormat="1" ht="14.4">
      <c r="A72" s="74" t="s">
        <v>62</v>
      </c>
      <c r="B72" s="75">
        <f>SUM(B62:B71)</f>
        <v>1063</v>
      </c>
      <c r="C72" s="27">
        <f t="shared" ref="C72:M72" si="9">SUM(C62:C71)</f>
        <v>1045</v>
      </c>
      <c r="D72" s="27">
        <f t="shared" si="9"/>
        <v>3775</v>
      </c>
      <c r="E72" s="27">
        <f t="shared" si="9"/>
        <v>3993</v>
      </c>
      <c r="F72" s="27">
        <f t="shared" si="9"/>
        <v>1045</v>
      </c>
      <c r="G72" s="27">
        <f t="shared" si="9"/>
        <v>1045</v>
      </c>
      <c r="H72" s="27">
        <f t="shared" si="9"/>
        <v>1063</v>
      </c>
      <c r="I72" s="27">
        <f t="shared" si="9"/>
        <v>1045</v>
      </c>
      <c r="J72" s="27">
        <f t="shared" si="9"/>
        <v>1045</v>
      </c>
      <c r="K72" s="27">
        <f t="shared" si="9"/>
        <v>3763</v>
      </c>
      <c r="L72" s="27">
        <f t="shared" si="9"/>
        <v>1045</v>
      </c>
      <c r="M72" s="27">
        <f t="shared" si="9"/>
        <v>1045</v>
      </c>
      <c r="N72" s="134">
        <f>SUM(N62:N71)</f>
        <v>20972</v>
      </c>
      <c r="P72" s="112">
        <v>15148</v>
      </c>
    </row>
    <row r="73" spans="1:16" s="4" customFormat="1">
      <c r="A73" s="66"/>
      <c r="B73" s="47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71"/>
      <c r="P73" s="112"/>
    </row>
    <row r="74" spans="1:16" s="4" customFormat="1">
      <c r="A74" s="76" t="s">
        <v>97</v>
      </c>
      <c r="B74" s="77">
        <f t="shared" ref="B74:M74" si="10">B72+B59+B47</f>
        <v>186229</v>
      </c>
      <c r="C74" s="28">
        <f t="shared" si="10"/>
        <v>470416</v>
      </c>
      <c r="D74" s="28">
        <f t="shared" si="10"/>
        <v>117496</v>
      </c>
      <c r="E74" s="28">
        <f t="shared" si="10"/>
        <v>70944</v>
      </c>
      <c r="F74" s="28">
        <f t="shared" si="10"/>
        <v>87707</v>
      </c>
      <c r="G74" s="28">
        <f t="shared" si="10"/>
        <v>82926</v>
      </c>
      <c r="H74" s="28">
        <f t="shared" si="10"/>
        <v>104497</v>
      </c>
      <c r="I74" s="28">
        <f t="shared" si="10"/>
        <v>180834</v>
      </c>
      <c r="J74" s="28">
        <f t="shared" si="10"/>
        <v>165484</v>
      </c>
      <c r="K74" s="28">
        <f t="shared" si="10"/>
        <v>78622</v>
      </c>
      <c r="L74" s="28">
        <f t="shared" si="10"/>
        <v>63759</v>
      </c>
      <c r="M74" s="28">
        <f t="shared" si="10"/>
        <v>263336</v>
      </c>
      <c r="N74" s="70">
        <f>SUM(B74:M74)</f>
        <v>1872250</v>
      </c>
      <c r="P74" s="114">
        <f>P72+P59+P47</f>
        <v>1226603</v>
      </c>
    </row>
    <row r="75" spans="1:16" s="4" customFormat="1">
      <c r="A75" s="66"/>
      <c r="B75" s="62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63"/>
      <c r="P75" s="116"/>
    </row>
    <row r="76" spans="1:16" s="4" customFormat="1">
      <c r="A76" s="66"/>
      <c r="B76" s="78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79"/>
      <c r="P76" s="115"/>
    </row>
    <row r="77" spans="1:16" s="4" customFormat="1" ht="13.8" thickBot="1">
      <c r="A77" s="80" t="s">
        <v>98</v>
      </c>
      <c r="B77" s="81">
        <f t="shared" ref="B77:N77" si="11">B31-B74</f>
        <v>-32840.380000000005</v>
      </c>
      <c r="C77" s="30">
        <f t="shared" si="11"/>
        <v>27192</v>
      </c>
      <c r="D77" s="30">
        <f t="shared" si="11"/>
        <v>4612</v>
      </c>
      <c r="E77" s="30">
        <f t="shared" si="11"/>
        <v>45939</v>
      </c>
      <c r="F77" s="30">
        <f t="shared" si="11"/>
        <v>-7499</v>
      </c>
      <c r="G77" s="30">
        <f t="shared" si="11"/>
        <v>-19193</v>
      </c>
      <c r="H77" s="30">
        <f t="shared" si="11"/>
        <v>-40264</v>
      </c>
      <c r="I77" s="30">
        <f t="shared" si="11"/>
        <v>-42281</v>
      </c>
      <c r="J77" s="30">
        <f t="shared" si="11"/>
        <v>-21198.619999999995</v>
      </c>
      <c r="K77" s="30">
        <f t="shared" si="11"/>
        <v>53761</v>
      </c>
      <c r="L77" s="30">
        <f t="shared" si="11"/>
        <v>-1776</v>
      </c>
      <c r="M77" s="30">
        <f t="shared" si="11"/>
        <v>34997</v>
      </c>
      <c r="N77" s="82">
        <f t="shared" si="11"/>
        <v>1449</v>
      </c>
      <c r="P77" s="118">
        <v>45751</v>
      </c>
    </row>
    <row r="78" spans="1:16" ht="13.8" thickTop="1"/>
    <row r="82" spans="16:16">
      <c r="P82" s="83"/>
    </row>
    <row r="86" spans="16:16">
      <c r="P86" s="83"/>
    </row>
    <row r="91" spans="16:16">
      <c r="P91" s="83"/>
    </row>
    <row r="97" spans="16:16">
      <c r="P97" s="83"/>
    </row>
    <row r="98" spans="16:16">
      <c r="P98" s="83"/>
    </row>
    <row r="104" spans="16:16">
      <c r="P104" s="83"/>
    </row>
    <row r="106" spans="16:16">
      <c r="P106" s="83"/>
    </row>
    <row r="107" spans="16:16">
      <c r="P107" s="83"/>
    </row>
    <row r="108" spans="16:16">
      <c r="P108" s="83"/>
    </row>
    <row r="109" spans="16:16">
      <c r="P109" s="83"/>
    </row>
    <row r="110" spans="16:16">
      <c r="P110" s="83"/>
    </row>
    <row r="112" spans="16:16">
      <c r="P112" s="83"/>
    </row>
    <row r="116" spans="16:16">
      <c r="P116" s="83"/>
    </row>
    <row r="117" spans="16:16">
      <c r="P117" s="83"/>
    </row>
    <row r="118" spans="16:16">
      <c r="P118" s="83"/>
    </row>
    <row r="119" spans="16:16">
      <c r="P119" s="83"/>
    </row>
    <row r="120" spans="16:16">
      <c r="P120" s="83"/>
    </row>
    <row r="121" spans="16:16">
      <c r="P121" s="83"/>
    </row>
    <row r="122" spans="16:16">
      <c r="P122" s="83"/>
    </row>
    <row r="123" spans="16:16">
      <c r="P123" s="83"/>
    </row>
    <row r="124" spans="16:16">
      <c r="P124" s="83"/>
    </row>
    <row r="125" spans="16:16">
      <c r="P125" s="83"/>
    </row>
    <row r="126" spans="16:16">
      <c r="P126" s="83"/>
    </row>
    <row r="127" spans="16:16">
      <c r="P127" s="83"/>
    </row>
    <row r="128" spans="16:16">
      <c r="P128" s="83"/>
    </row>
    <row r="129" spans="16:16">
      <c r="P129" s="83"/>
    </row>
    <row r="130" spans="16:16">
      <c r="P130" s="83"/>
    </row>
    <row r="131" spans="16:16">
      <c r="P131" s="83"/>
    </row>
    <row r="132" spans="16:16">
      <c r="P132" s="83"/>
    </row>
    <row r="133" spans="16:16">
      <c r="P133" s="83"/>
    </row>
    <row r="134" spans="16:16">
      <c r="P134" s="83"/>
    </row>
    <row r="135" spans="16:16">
      <c r="P135" s="83"/>
    </row>
    <row r="136" spans="16:16">
      <c r="P136" s="83"/>
    </row>
    <row r="137" spans="16:16">
      <c r="P137" s="83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5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4"/>
  <sheetViews>
    <sheetView topLeftCell="E4" zoomScale="88" zoomScaleNormal="85" workbookViewId="0">
      <pane xSplit="5" ySplit="6" topLeftCell="J19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W45" sqref="W45"/>
    </sheetView>
  </sheetViews>
  <sheetFormatPr defaultColWidth="9.109375" defaultRowHeight="13.2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.88671875" customWidth="1"/>
    <col min="9" max="9" width="15.88671875" customWidth="1"/>
    <col min="10" max="10" width="10.77734375" bestFit="1" customWidth="1"/>
    <col min="11" max="12" width="12.21875" bestFit="1" customWidth="1"/>
    <col min="13" max="13" width="11.88671875" bestFit="1" customWidth="1"/>
    <col min="14" max="18" width="10.77734375" bestFit="1" customWidth="1"/>
    <col min="19" max="19" width="11.33203125" bestFit="1" customWidth="1"/>
    <col min="20" max="21" width="10.77734375" bestFit="1" customWidth="1"/>
    <col min="22" max="22" width="11.88671875" bestFit="1" customWidth="1"/>
  </cols>
  <sheetData>
    <row r="1" spans="5:22">
      <c r="F1" s="126"/>
      <c r="G1" s="126"/>
      <c r="H1" s="126"/>
      <c r="I1" s="126"/>
      <c r="J1" s="126"/>
      <c r="K1" s="84"/>
    </row>
    <row r="2" spans="5:22">
      <c r="F2" s="126"/>
      <c r="G2" s="3"/>
      <c r="H2" s="126"/>
      <c r="I2" s="126"/>
      <c r="K2" s="2"/>
    </row>
    <row r="3" spans="5:22">
      <c r="E3" s="259" t="s">
        <v>20</v>
      </c>
      <c r="F3" s="257"/>
      <c r="G3" s="257"/>
      <c r="H3" s="257"/>
      <c r="I3" s="257"/>
      <c r="J3" s="257"/>
      <c r="K3" s="257"/>
      <c r="L3" s="257"/>
      <c r="M3" s="257"/>
    </row>
    <row r="4" spans="5:22">
      <c r="E4" s="259" t="s">
        <v>124</v>
      </c>
      <c r="F4" s="257"/>
      <c r="G4" s="257"/>
      <c r="H4" s="257"/>
      <c r="I4" s="257"/>
      <c r="J4" s="257"/>
      <c r="K4" s="257"/>
      <c r="L4" s="257"/>
      <c r="M4" s="257"/>
    </row>
    <row r="5" spans="5:22">
      <c r="E5" s="259"/>
      <c r="F5" s="257"/>
      <c r="G5" s="257"/>
      <c r="H5" s="257"/>
      <c r="I5" s="257"/>
      <c r="J5" s="257"/>
      <c r="K5" s="257"/>
      <c r="L5" s="257"/>
      <c r="M5" s="257"/>
    </row>
    <row r="6" spans="5:22" ht="14.4" hidden="1">
      <c r="E6" s="138"/>
      <c r="F6" s="137"/>
      <c r="G6" s="137"/>
      <c r="H6" s="137"/>
      <c r="I6" s="137"/>
      <c r="J6" s="127" t="s">
        <v>18</v>
      </c>
      <c r="K6" s="127" t="s">
        <v>19</v>
      </c>
      <c r="L6" s="128">
        <v>39934</v>
      </c>
      <c r="M6" s="128">
        <v>39934</v>
      </c>
    </row>
    <row r="7" spans="5:22">
      <c r="E7" s="85"/>
      <c r="J7" s="124"/>
    </row>
    <row r="8" spans="5:22">
      <c r="J8" s="260"/>
      <c r="K8" s="261"/>
      <c r="L8" s="261"/>
      <c r="M8" s="261"/>
    </row>
    <row r="9" spans="5:22">
      <c r="F9" s="126" t="s">
        <v>0</v>
      </c>
      <c r="G9" s="126"/>
      <c r="H9" s="139"/>
      <c r="I9" s="139"/>
      <c r="J9" s="129" t="s">
        <v>151</v>
      </c>
      <c r="K9" s="129" t="s">
        <v>51</v>
      </c>
      <c r="L9" s="129" t="s">
        <v>52</v>
      </c>
      <c r="M9" s="129" t="s">
        <v>53</v>
      </c>
      <c r="N9" s="129" t="s">
        <v>54</v>
      </c>
      <c r="O9" s="129" t="s">
        <v>55</v>
      </c>
      <c r="P9" s="129" t="s">
        <v>56</v>
      </c>
      <c r="Q9" s="129" t="s">
        <v>57</v>
      </c>
      <c r="R9" s="129" t="s">
        <v>58</v>
      </c>
      <c r="S9" s="129" t="s">
        <v>59</v>
      </c>
      <c r="T9" s="129" t="s">
        <v>60</v>
      </c>
      <c r="U9" s="129" t="s">
        <v>61</v>
      </c>
      <c r="V9" s="129" t="s">
        <v>50</v>
      </c>
    </row>
    <row r="10" spans="5:22">
      <c r="F10" s="126"/>
      <c r="G10" s="126" t="s">
        <v>1</v>
      </c>
      <c r="H10" s="126"/>
      <c r="I10" s="126"/>
      <c r="J10" s="130"/>
      <c r="K10" s="126"/>
      <c r="L10" s="126"/>
      <c r="M10" s="126"/>
    </row>
    <row r="11" spans="5:22">
      <c r="F11" s="1"/>
      <c r="G11" s="140" t="s">
        <v>2</v>
      </c>
      <c r="H11" s="1"/>
      <c r="I11" s="1"/>
      <c r="J11" s="86"/>
      <c r="K11" s="32"/>
      <c r="L11" s="32"/>
      <c r="M11" s="32"/>
      <c r="N11" s="2"/>
    </row>
    <row r="12" spans="5:22" s="4" customFormat="1">
      <c r="F12" s="1"/>
      <c r="G12" s="140"/>
      <c r="H12" s="1" t="s">
        <v>21</v>
      </c>
      <c r="I12" s="1"/>
      <c r="J12" s="32">
        <v>6336</v>
      </c>
      <c r="K12" s="32">
        <v>6000</v>
      </c>
      <c r="L12" s="32">
        <v>30000</v>
      </c>
      <c r="M12" s="32">
        <v>18000</v>
      </c>
      <c r="N12" s="32">
        <v>15000</v>
      </c>
      <c r="O12" s="32">
        <v>12000</v>
      </c>
      <c r="P12" s="32">
        <v>7000</v>
      </c>
      <c r="Q12" s="32">
        <v>7000</v>
      </c>
      <c r="R12" s="32">
        <v>36000</v>
      </c>
      <c r="S12" s="32">
        <v>27000</v>
      </c>
      <c r="T12" s="32">
        <v>12500</v>
      </c>
      <c r="U12" s="32">
        <v>6900</v>
      </c>
      <c r="V12" s="32">
        <v>6000</v>
      </c>
    </row>
    <row r="13" spans="5:22" s="4" customFormat="1">
      <c r="F13" s="1"/>
      <c r="G13" s="140"/>
      <c r="H13" s="1" t="s">
        <v>146</v>
      </c>
      <c r="I13" s="1"/>
      <c r="J13" s="32">
        <v>215616</v>
      </c>
      <c r="K13" s="32">
        <v>195100</v>
      </c>
      <c r="L13" s="32">
        <v>174000</v>
      </c>
      <c r="M13" s="32">
        <v>174500</v>
      </c>
      <c r="N13" s="32">
        <v>175000</v>
      </c>
      <c r="O13" s="32">
        <v>153000</v>
      </c>
      <c r="P13" s="32">
        <v>153500</v>
      </c>
      <c r="Q13" s="32">
        <v>133000</v>
      </c>
      <c r="R13" s="32">
        <v>133500</v>
      </c>
      <c r="S13" s="32">
        <v>118000</v>
      </c>
      <c r="T13" s="32">
        <v>118500</v>
      </c>
      <c r="U13" s="32">
        <v>119000</v>
      </c>
      <c r="V13" s="32">
        <v>119500</v>
      </c>
    </row>
    <row r="14" spans="5:22">
      <c r="F14" s="1"/>
      <c r="G14" s="140"/>
      <c r="H14" s="1" t="s">
        <v>132</v>
      </c>
      <c r="I14" s="1"/>
      <c r="J14" s="32">
        <v>34033</v>
      </c>
      <c r="K14" s="32">
        <v>32000</v>
      </c>
      <c r="L14" s="32">
        <v>30000</v>
      </c>
      <c r="M14" s="32">
        <v>28000</v>
      </c>
      <c r="N14" s="131">
        <v>26000</v>
      </c>
      <c r="O14" s="131">
        <v>25000</v>
      </c>
      <c r="P14" s="32">
        <v>24000</v>
      </c>
      <c r="Q14" s="32">
        <v>23000</v>
      </c>
      <c r="R14" s="32">
        <v>22000</v>
      </c>
      <c r="S14" s="32">
        <v>15000</v>
      </c>
      <c r="T14" s="32">
        <v>13000</v>
      </c>
      <c r="U14" s="32">
        <v>23000</v>
      </c>
      <c r="V14" s="32">
        <v>36000</v>
      </c>
    </row>
    <row r="15" spans="5:22">
      <c r="F15" s="1"/>
      <c r="G15" s="140"/>
      <c r="H15" s="1" t="s">
        <v>118</v>
      </c>
      <c r="I15" s="1"/>
      <c r="J15" s="32">
        <v>1510</v>
      </c>
      <c r="K15" s="32">
        <v>1510</v>
      </c>
      <c r="L15" s="32">
        <v>1510</v>
      </c>
      <c r="M15" s="32">
        <v>1510</v>
      </c>
      <c r="N15" s="131">
        <v>1510</v>
      </c>
      <c r="O15" s="131">
        <v>1510</v>
      </c>
      <c r="P15" s="32">
        <v>1510</v>
      </c>
      <c r="Q15" s="32">
        <v>1510</v>
      </c>
      <c r="R15" s="32">
        <v>1510</v>
      </c>
      <c r="S15" s="32">
        <v>1510</v>
      </c>
      <c r="T15" s="32">
        <v>1510</v>
      </c>
      <c r="U15" s="32">
        <v>1510</v>
      </c>
      <c r="V15" s="32">
        <v>1510</v>
      </c>
    </row>
    <row r="16" spans="5:22">
      <c r="F16" s="1"/>
      <c r="G16" s="140"/>
      <c r="H16" s="1" t="s">
        <v>127</v>
      </c>
      <c r="I16" s="1"/>
      <c r="J16" s="32">
        <v>1721</v>
      </c>
      <c r="K16" s="32">
        <v>1721</v>
      </c>
      <c r="L16" s="32">
        <v>1721</v>
      </c>
      <c r="M16" s="32">
        <v>1721</v>
      </c>
      <c r="N16" s="131">
        <v>1721</v>
      </c>
      <c r="O16" s="131">
        <v>1721</v>
      </c>
      <c r="P16" s="32">
        <v>1721</v>
      </c>
      <c r="Q16" s="32">
        <v>1721</v>
      </c>
      <c r="R16" s="32">
        <v>1721</v>
      </c>
      <c r="S16" s="32">
        <v>1721</v>
      </c>
      <c r="T16" s="32">
        <v>1721</v>
      </c>
      <c r="U16" s="32">
        <v>1721</v>
      </c>
      <c r="V16" s="32">
        <v>1721</v>
      </c>
    </row>
    <row r="17" spans="5:22">
      <c r="F17" s="1"/>
      <c r="G17" s="140"/>
      <c r="H17" s="251" t="s">
        <v>128</v>
      </c>
      <c r="I17" s="1"/>
      <c r="J17" s="32">
        <v>98616</v>
      </c>
      <c r="K17" s="32">
        <f>SUM(J17+'Income Statement'!B17-'Income Statement'!B57)</f>
        <v>98216</v>
      </c>
      <c r="L17" s="32">
        <f>SUM(K17+'Income Statement'!C17-'Income Statement'!C57)</f>
        <v>124516</v>
      </c>
      <c r="M17" s="32">
        <f>SUM(L17+'Income Statement'!D17-'Income Statement'!D57)</f>
        <v>168991</v>
      </c>
      <c r="N17" s="32">
        <f>SUM(M17+'Income Statement'!E17-'Income Statement'!E57)</f>
        <v>187191</v>
      </c>
      <c r="O17" s="32">
        <f>SUM(N17+'Income Statement'!F17-'Income Statement'!F57)</f>
        <v>195391</v>
      </c>
      <c r="P17" s="32">
        <f>SUM(O17+'Income Statement'!G17-'Income Statement'!G57)</f>
        <v>181791</v>
      </c>
      <c r="Q17" s="32">
        <f>SUM(P17+'Income Statement'!H17-'Income Statement'!H57)</f>
        <v>181591</v>
      </c>
      <c r="R17" s="32">
        <f>SUM(Q17+'Income Statement'!I17-'Income Statement'!I57)</f>
        <v>181311</v>
      </c>
      <c r="S17" s="32">
        <f>SUM((R17+'Income Statement'!J17-'Income Statement'!J57)-105000)</f>
        <v>99811</v>
      </c>
      <c r="T17" s="32">
        <f>SUM(S17+'Income Statement'!K17-'Income Statement'!K57)</f>
        <v>99611</v>
      </c>
      <c r="U17" s="32">
        <f>SUM(T17+'Income Statement'!L17-'Income Statement'!L57)</f>
        <v>99411</v>
      </c>
      <c r="V17" s="32">
        <f>SUM(U17+'Income Statement'!M17-'Income Statement'!M57)</f>
        <v>99211</v>
      </c>
    </row>
    <row r="18" spans="5:22">
      <c r="F18" s="1"/>
      <c r="G18" s="140"/>
      <c r="H18" s="1" t="s">
        <v>131</v>
      </c>
      <c r="I18" s="1"/>
      <c r="J18" s="32">
        <v>6104</v>
      </c>
      <c r="K18" s="32">
        <v>6104</v>
      </c>
      <c r="L18" s="32">
        <v>6104</v>
      </c>
      <c r="M18" s="32">
        <v>6104</v>
      </c>
      <c r="N18" s="131">
        <v>6104</v>
      </c>
      <c r="O18" s="131">
        <v>6104</v>
      </c>
      <c r="P18" s="32">
        <v>6104</v>
      </c>
      <c r="Q18" s="32">
        <v>6104</v>
      </c>
      <c r="R18" s="32">
        <v>6104</v>
      </c>
      <c r="S18" s="32">
        <v>6104</v>
      </c>
      <c r="T18" s="32">
        <v>6104</v>
      </c>
      <c r="U18" s="32">
        <v>6104</v>
      </c>
      <c r="V18" s="32">
        <v>6104</v>
      </c>
    </row>
    <row r="19" spans="5:22">
      <c r="F19" s="1"/>
      <c r="G19" s="140"/>
      <c r="H19" s="1" t="s">
        <v>135</v>
      </c>
      <c r="I19" s="1"/>
      <c r="J19" s="32">
        <v>0</v>
      </c>
      <c r="K19" s="32">
        <v>0</v>
      </c>
      <c r="L19" s="32">
        <v>0</v>
      </c>
      <c r="M19" s="32">
        <v>0</v>
      </c>
      <c r="N19" s="131">
        <v>0</v>
      </c>
      <c r="O19" s="131">
        <v>0</v>
      </c>
      <c r="P19" s="32">
        <v>1500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</row>
    <row r="20" spans="5:22" ht="15">
      <c r="F20" s="1"/>
      <c r="G20" s="140"/>
      <c r="H20" s="1" t="s">
        <v>22</v>
      </c>
      <c r="I20" s="1"/>
      <c r="J20" s="87">
        <v>266627</v>
      </c>
      <c r="K20" s="87">
        <f>SUM(K21-K12-K13-K14-K15-K16-K17-K18-K19)</f>
        <v>339072.62</v>
      </c>
      <c r="L20" s="87">
        <f t="shared" ref="L20:V20" si="0">SUM(L21-L12-L13-L14-L15-L16-L17-L18-L19)</f>
        <v>324627</v>
      </c>
      <c r="M20" s="87">
        <f t="shared" si="0"/>
        <v>338069</v>
      </c>
      <c r="N20" s="87">
        <f t="shared" si="0"/>
        <v>307481</v>
      </c>
      <c r="O20" s="87">
        <f t="shared" si="0"/>
        <v>299370</v>
      </c>
      <c r="P20" s="87">
        <f t="shared" si="0"/>
        <v>263621</v>
      </c>
      <c r="Q20" s="87">
        <f t="shared" si="0"/>
        <v>266953</v>
      </c>
      <c r="R20" s="87">
        <f t="shared" si="0"/>
        <v>270214</v>
      </c>
      <c r="S20" s="87">
        <f t="shared" si="0"/>
        <v>292433</v>
      </c>
      <c r="T20" s="87">
        <f t="shared" si="0"/>
        <v>210687</v>
      </c>
      <c r="U20" s="87">
        <f t="shared" si="0"/>
        <v>285973</v>
      </c>
      <c r="V20" s="87">
        <f t="shared" si="0"/>
        <v>308472</v>
      </c>
    </row>
    <row r="21" spans="5:22">
      <c r="F21" s="1"/>
      <c r="G21" s="140"/>
      <c r="H21" s="1" t="s">
        <v>23</v>
      </c>
      <c r="I21" s="1"/>
      <c r="J21" s="32">
        <f>SUM(J12:J20)</f>
        <v>630563</v>
      </c>
      <c r="K21" s="32">
        <f>CF!G33</f>
        <v>679723.62</v>
      </c>
      <c r="L21" s="32">
        <f>CF!H33</f>
        <v>692478</v>
      </c>
      <c r="M21" s="32">
        <f>CF!I33</f>
        <v>736895</v>
      </c>
      <c r="N21" s="32">
        <f>CF!J33</f>
        <v>720007</v>
      </c>
      <c r="O21" s="32">
        <f>CF!K33</f>
        <v>694096</v>
      </c>
      <c r="P21" s="32">
        <f>CF!L33</f>
        <v>640747</v>
      </c>
      <c r="Q21" s="32">
        <f>CF!M33</f>
        <v>620879</v>
      </c>
      <c r="R21" s="32">
        <f>CF!N33</f>
        <v>652360</v>
      </c>
      <c r="S21" s="32">
        <f>CF!O33</f>
        <v>561579</v>
      </c>
      <c r="T21" s="32">
        <f>CF!P33</f>
        <v>463633</v>
      </c>
      <c r="U21" s="32">
        <f>CF!Q33</f>
        <v>543619</v>
      </c>
      <c r="V21" s="32">
        <f>CF!R33</f>
        <v>578518</v>
      </c>
    </row>
    <row r="22" spans="5:22">
      <c r="E22" s="88"/>
      <c r="F22" s="1"/>
      <c r="G22" s="140" t="s">
        <v>28</v>
      </c>
      <c r="H22" s="1"/>
      <c r="I22" s="1"/>
      <c r="J22" s="32">
        <v>0</v>
      </c>
      <c r="K22" s="32">
        <v>300</v>
      </c>
      <c r="L22" s="32">
        <f>SUM('BS wrksht'!D14)</f>
        <v>6000</v>
      </c>
      <c r="M22" s="32">
        <f>SUM('BS wrksht'!E14)</f>
        <v>3000</v>
      </c>
      <c r="N22" s="32">
        <f>SUM('BS wrksht'!F14)</f>
        <v>9000</v>
      </c>
      <c r="O22" s="32">
        <f>SUM('BS wrksht'!G14)</f>
        <v>0</v>
      </c>
      <c r="P22" s="32">
        <f>SUM('BS wrksht'!H14)</f>
        <v>3000</v>
      </c>
      <c r="Q22" s="32">
        <f>SUM('BS wrksht'!I14)</f>
        <v>6000</v>
      </c>
      <c r="R22" s="32">
        <f>SUM('BS wrksht'!J14)</f>
        <v>12000</v>
      </c>
      <c r="S22" s="32">
        <f>SUM('BS wrksht'!K14)</f>
        <v>6000</v>
      </c>
      <c r="T22" s="32">
        <f>SUM('BS wrksht'!L14)</f>
        <v>6000</v>
      </c>
      <c r="U22" s="32">
        <f>SUM('BS wrksht'!M14)</f>
        <v>0</v>
      </c>
      <c r="V22" s="32">
        <f>SUM('BS wrksht'!N14)</f>
        <v>0</v>
      </c>
    </row>
    <row r="23" spans="5:22">
      <c r="E23" s="88"/>
      <c r="F23" s="1"/>
      <c r="G23" s="140" t="s">
        <v>29</v>
      </c>
      <c r="H23" s="1"/>
      <c r="I23" s="1"/>
      <c r="J23" s="32">
        <v>41374</v>
      </c>
      <c r="K23" s="32">
        <f>SUM('BS wrksht'!C9)</f>
        <v>127833</v>
      </c>
      <c r="L23" s="32">
        <f>SUM('BS wrksht'!D9)</f>
        <v>458283</v>
      </c>
      <c r="M23" s="32">
        <f>SUM('BS wrksht'!E9)</f>
        <v>47783</v>
      </c>
      <c r="N23" s="32">
        <f>SUM('BS wrksht'!F9)</f>
        <v>22783</v>
      </c>
      <c r="O23" s="32">
        <f>SUM('BS wrksht'!G9)</f>
        <v>22783</v>
      </c>
      <c r="P23" s="32">
        <f>SUM('BS wrksht'!H9)</f>
        <v>44783</v>
      </c>
      <c r="Q23" s="32">
        <f>SUM('BS wrksht'!I9)</f>
        <v>24783</v>
      </c>
      <c r="R23" s="32">
        <f>SUM('BS wrksht'!J9)</f>
        <v>63583</v>
      </c>
      <c r="S23" s="32">
        <f>SUM('BS wrksht'!K9)</f>
        <v>67513</v>
      </c>
      <c r="T23" s="32">
        <f>SUM('BS wrksht'!L9)</f>
        <v>105083</v>
      </c>
      <c r="U23" s="32">
        <f>SUM('BS wrksht'!M9)</f>
        <v>35083</v>
      </c>
      <c r="V23" s="32">
        <f>SUM('BS wrksht'!N9)</f>
        <v>237083</v>
      </c>
    </row>
    <row r="24" spans="5:22" s="4" customFormat="1">
      <c r="E24" s="88"/>
      <c r="F24" s="1"/>
      <c r="G24" s="140" t="s">
        <v>24</v>
      </c>
      <c r="H24" s="1"/>
      <c r="I24" s="1"/>
      <c r="J24" s="32">
        <v>41872</v>
      </c>
      <c r="K24" s="32">
        <f>SUM('BS wrksht'!C20)</f>
        <v>42172</v>
      </c>
      <c r="L24" s="32">
        <f>SUM('BS wrksht'!D20)</f>
        <v>47872</v>
      </c>
      <c r="M24" s="32">
        <f>SUM('BS wrksht'!E20)</f>
        <v>44872</v>
      </c>
      <c r="N24" s="32">
        <f>SUM('BS wrksht'!F20)</f>
        <v>50872</v>
      </c>
      <c r="O24" s="32">
        <f>SUM('BS wrksht'!G20)</f>
        <v>41872</v>
      </c>
      <c r="P24" s="32">
        <f>SUM('BS wrksht'!H20)</f>
        <v>44872</v>
      </c>
      <c r="Q24" s="32">
        <f>SUM('BS wrksht'!I20)</f>
        <v>47872</v>
      </c>
      <c r="R24" s="32">
        <f>SUM('BS wrksht'!J20)</f>
        <v>53872</v>
      </c>
      <c r="S24" s="32">
        <f>SUM('BS wrksht'!K20)</f>
        <v>47872</v>
      </c>
      <c r="T24" s="32">
        <f>SUM('BS wrksht'!L20)</f>
        <v>47872</v>
      </c>
      <c r="U24" s="32">
        <f>SUM('BS wrksht'!M20)</f>
        <v>41872</v>
      </c>
      <c r="V24" s="32">
        <f>SUM('BS wrksht'!N20)</f>
        <v>41872</v>
      </c>
    </row>
    <row r="25" spans="5:22">
      <c r="E25" s="4"/>
      <c r="F25" s="1"/>
      <c r="G25" s="140" t="s">
        <v>3</v>
      </c>
      <c r="H25" s="1"/>
      <c r="I25" s="1"/>
      <c r="J25" s="32">
        <v>3048</v>
      </c>
      <c r="K25" s="32">
        <v>4000</v>
      </c>
      <c r="L25" s="32">
        <v>7000</v>
      </c>
      <c r="M25" s="32">
        <v>8000</v>
      </c>
      <c r="N25" s="32">
        <v>9000</v>
      </c>
      <c r="O25" s="32">
        <v>8400</v>
      </c>
      <c r="P25" s="32">
        <v>13000</v>
      </c>
      <c r="Q25" s="32">
        <v>12400</v>
      </c>
      <c r="R25" s="32">
        <v>11400</v>
      </c>
      <c r="S25" s="32">
        <v>9000</v>
      </c>
      <c r="T25" s="32">
        <v>5000</v>
      </c>
      <c r="U25" s="32">
        <v>4000</v>
      </c>
      <c r="V25" s="32">
        <v>3000</v>
      </c>
    </row>
    <row r="26" spans="5:22">
      <c r="F26" s="1"/>
      <c r="G26" s="140" t="s">
        <v>25</v>
      </c>
      <c r="H26" s="1"/>
      <c r="I26" s="1"/>
      <c r="J26" s="32">
        <v>20534</v>
      </c>
      <c r="K26" s="86">
        <v>0</v>
      </c>
      <c r="L26" s="86">
        <v>0</v>
      </c>
      <c r="M26" s="86">
        <v>0</v>
      </c>
      <c r="N26" s="86">
        <v>0</v>
      </c>
      <c r="O26" s="86">
        <v>0</v>
      </c>
      <c r="P26" s="86">
        <v>0</v>
      </c>
      <c r="Q26" s="86">
        <v>0</v>
      </c>
      <c r="R26" s="86">
        <v>0</v>
      </c>
      <c r="S26" s="86">
        <v>0</v>
      </c>
      <c r="T26" s="86">
        <v>0</v>
      </c>
      <c r="U26" s="86">
        <v>0</v>
      </c>
      <c r="V26" s="86">
        <v>0</v>
      </c>
    </row>
    <row r="27" spans="5:22" ht="11.25" customHeight="1">
      <c r="G27" s="126" t="s">
        <v>4</v>
      </c>
      <c r="H27" s="126"/>
      <c r="I27" s="126"/>
      <c r="J27" s="89">
        <f>SUM(J21:J26)</f>
        <v>737391</v>
      </c>
      <c r="K27" s="89">
        <f>SUM(K21:K26)</f>
        <v>854028.62</v>
      </c>
      <c r="L27" s="89">
        <f t="shared" ref="L27:V27" si="1">SUM(L21:L26)</f>
        <v>1211633</v>
      </c>
      <c r="M27" s="89">
        <f t="shared" si="1"/>
        <v>840550</v>
      </c>
      <c r="N27" s="89">
        <f t="shared" si="1"/>
        <v>811662</v>
      </c>
      <c r="O27" s="89">
        <f t="shared" si="1"/>
        <v>767151</v>
      </c>
      <c r="P27" s="89">
        <f t="shared" si="1"/>
        <v>746402</v>
      </c>
      <c r="Q27" s="89">
        <f t="shared" si="1"/>
        <v>711934</v>
      </c>
      <c r="R27" s="89">
        <f t="shared" si="1"/>
        <v>793215</v>
      </c>
      <c r="S27" s="89">
        <f t="shared" si="1"/>
        <v>691964</v>
      </c>
      <c r="T27" s="89">
        <f t="shared" si="1"/>
        <v>627588</v>
      </c>
      <c r="U27" s="89">
        <f t="shared" si="1"/>
        <v>624574</v>
      </c>
      <c r="V27" s="89">
        <f t="shared" si="1"/>
        <v>860473</v>
      </c>
    </row>
    <row r="28" spans="5:22">
      <c r="G28" s="126"/>
      <c r="H28" s="126"/>
      <c r="I28" s="126"/>
      <c r="J28" s="90"/>
      <c r="K28" s="91"/>
      <c r="L28" s="91"/>
      <c r="M28" s="91"/>
      <c r="N28" s="124"/>
      <c r="O28" s="124"/>
      <c r="P28" s="124"/>
      <c r="Q28" s="124"/>
      <c r="R28" s="124"/>
      <c r="S28" s="124"/>
      <c r="T28" s="124"/>
      <c r="U28" s="124"/>
      <c r="V28" s="124"/>
    </row>
    <row r="29" spans="5:22">
      <c r="F29" s="141"/>
      <c r="G29" s="126" t="s">
        <v>5</v>
      </c>
      <c r="H29" s="1"/>
      <c r="I29" s="1"/>
      <c r="J29" s="90"/>
      <c r="K29" s="91"/>
      <c r="L29" s="91"/>
      <c r="M29" s="91"/>
      <c r="N29" s="124"/>
      <c r="O29" s="124"/>
      <c r="P29" s="124"/>
      <c r="Q29" s="124"/>
      <c r="R29" s="124"/>
      <c r="S29" s="124"/>
      <c r="T29" s="124"/>
      <c r="U29" s="124"/>
      <c r="V29" s="124"/>
    </row>
    <row r="30" spans="5:22">
      <c r="F30" s="1"/>
      <c r="G30" s="1" t="s">
        <v>6</v>
      </c>
      <c r="H30" s="1"/>
      <c r="I30" s="1"/>
      <c r="J30" s="32">
        <v>156666</v>
      </c>
      <c r="K30" s="32">
        <v>156666</v>
      </c>
      <c r="L30" s="32">
        <v>156666</v>
      </c>
      <c r="M30" s="32">
        <v>156666</v>
      </c>
      <c r="N30" s="32">
        <v>156666</v>
      </c>
      <c r="O30" s="32">
        <v>156666</v>
      </c>
      <c r="P30" s="32">
        <v>156666</v>
      </c>
      <c r="Q30" s="32">
        <v>156666</v>
      </c>
      <c r="R30" s="32">
        <v>156666</v>
      </c>
      <c r="S30" s="32">
        <v>156666</v>
      </c>
      <c r="T30" s="32">
        <v>156666</v>
      </c>
      <c r="U30" s="32">
        <v>156666</v>
      </c>
      <c r="V30" s="32">
        <v>156666</v>
      </c>
    </row>
    <row r="31" spans="5:22" s="4" customFormat="1">
      <c r="E31"/>
      <c r="F31" s="1"/>
      <c r="G31" s="1" t="s">
        <v>7</v>
      </c>
      <c r="H31" s="1"/>
      <c r="I31" s="1"/>
      <c r="J31" s="32">
        <v>-15458</v>
      </c>
      <c r="K31" s="32">
        <v>-15458</v>
      </c>
      <c r="L31" s="32">
        <v>-15458</v>
      </c>
      <c r="M31" s="32">
        <v>-15458</v>
      </c>
      <c r="N31" s="32">
        <v>-15458</v>
      </c>
      <c r="O31" s="32">
        <v>-15458</v>
      </c>
      <c r="P31" s="32">
        <v>-15458</v>
      </c>
      <c r="Q31" s="32">
        <v>-15458</v>
      </c>
      <c r="R31" s="32">
        <v>-15458</v>
      </c>
      <c r="S31" s="32">
        <v>-15458</v>
      </c>
      <c r="T31" s="32">
        <v>-15458</v>
      </c>
      <c r="U31" s="32">
        <v>-15458</v>
      </c>
      <c r="V31" s="32">
        <v>-15458</v>
      </c>
    </row>
    <row r="32" spans="5:22" ht="16.8" customHeight="1">
      <c r="E32" s="4"/>
      <c r="F32" s="4"/>
      <c r="G32" s="3" t="s">
        <v>8</v>
      </c>
      <c r="H32" s="3"/>
      <c r="I32" s="3"/>
      <c r="J32" s="92">
        <f>SUM(J30:J31)</f>
        <v>141208</v>
      </c>
      <c r="K32" s="92">
        <f>SUM(K30:K31)</f>
        <v>141208</v>
      </c>
      <c r="L32" s="92">
        <f t="shared" ref="L32:V32" si="2">SUM(L30:L31)</f>
        <v>141208</v>
      </c>
      <c r="M32" s="92">
        <f t="shared" si="2"/>
        <v>141208</v>
      </c>
      <c r="N32" s="92">
        <f t="shared" si="2"/>
        <v>141208</v>
      </c>
      <c r="O32" s="92">
        <f t="shared" si="2"/>
        <v>141208</v>
      </c>
      <c r="P32" s="92">
        <f t="shared" si="2"/>
        <v>141208</v>
      </c>
      <c r="Q32" s="92">
        <f t="shared" si="2"/>
        <v>141208</v>
      </c>
      <c r="R32" s="92">
        <f t="shared" si="2"/>
        <v>141208</v>
      </c>
      <c r="S32" s="92">
        <f t="shared" si="2"/>
        <v>141208</v>
      </c>
      <c r="T32" s="92">
        <f t="shared" si="2"/>
        <v>141208</v>
      </c>
      <c r="U32" s="92">
        <f t="shared" si="2"/>
        <v>141208</v>
      </c>
      <c r="V32" s="92">
        <f t="shared" si="2"/>
        <v>141208</v>
      </c>
    </row>
    <row r="33" spans="5:22" s="4" customFormat="1">
      <c r="E33"/>
      <c r="F33"/>
      <c r="G33" s="126"/>
      <c r="H33" s="126"/>
      <c r="I33" s="126"/>
      <c r="J33" s="132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</row>
    <row r="34" spans="5:22" s="4" customFormat="1">
      <c r="G34" s="140" t="s">
        <v>147</v>
      </c>
      <c r="H34" s="1"/>
      <c r="I34" s="1"/>
      <c r="J34" s="142">
        <v>280</v>
      </c>
      <c r="K34" s="142">
        <v>280</v>
      </c>
      <c r="L34" s="142">
        <v>280</v>
      </c>
      <c r="M34" s="142">
        <v>280</v>
      </c>
      <c r="N34" s="142">
        <v>280</v>
      </c>
      <c r="O34" s="142">
        <v>280</v>
      </c>
      <c r="P34" s="142">
        <v>280</v>
      </c>
      <c r="Q34" s="142">
        <v>280</v>
      </c>
      <c r="R34" s="142">
        <v>280</v>
      </c>
      <c r="S34" s="142">
        <v>280</v>
      </c>
      <c r="T34" s="142">
        <v>280</v>
      </c>
      <c r="U34" s="142">
        <v>280</v>
      </c>
      <c r="V34" s="142">
        <v>280</v>
      </c>
    </row>
    <row r="35" spans="5:22">
      <c r="E35" s="4"/>
      <c r="F35" s="1"/>
      <c r="G35" s="143" t="s">
        <v>148</v>
      </c>
      <c r="H35" s="1"/>
      <c r="I35" s="1"/>
      <c r="J35" s="32">
        <v>89669</v>
      </c>
      <c r="K35" s="32">
        <f>SUM(J35+775)</f>
        <v>90444</v>
      </c>
      <c r="L35" s="32">
        <f t="shared" ref="L35:V35" si="3">SUM(K35+775)</f>
        <v>91219</v>
      </c>
      <c r="M35" s="32">
        <f t="shared" si="3"/>
        <v>91994</v>
      </c>
      <c r="N35" s="32">
        <f t="shared" si="3"/>
        <v>92769</v>
      </c>
      <c r="O35" s="32">
        <f t="shared" si="3"/>
        <v>93544</v>
      </c>
      <c r="P35" s="32">
        <f t="shared" si="3"/>
        <v>94319</v>
      </c>
      <c r="Q35" s="32">
        <f t="shared" si="3"/>
        <v>95094</v>
      </c>
      <c r="R35" s="32">
        <f t="shared" si="3"/>
        <v>95869</v>
      </c>
      <c r="S35" s="32">
        <f t="shared" si="3"/>
        <v>96644</v>
      </c>
      <c r="T35" s="32">
        <f t="shared" si="3"/>
        <v>97419</v>
      </c>
      <c r="U35" s="32">
        <f t="shared" si="3"/>
        <v>98194</v>
      </c>
      <c r="V35" s="32">
        <f t="shared" si="3"/>
        <v>98969</v>
      </c>
    </row>
    <row r="36" spans="5:22" ht="13.8" thickBot="1">
      <c r="G36" s="126" t="s">
        <v>9</v>
      </c>
      <c r="H36" s="126"/>
      <c r="I36" s="126"/>
      <c r="J36" s="94">
        <f>J27+J32+J34+J35</f>
        <v>968548</v>
      </c>
      <c r="K36" s="94">
        <f t="shared" ref="K36:V36" si="4">K27+K32+K34+K35</f>
        <v>1085960.6200000001</v>
      </c>
      <c r="L36" s="94">
        <f t="shared" si="4"/>
        <v>1444340</v>
      </c>
      <c r="M36" s="94">
        <f t="shared" si="4"/>
        <v>1074032</v>
      </c>
      <c r="N36" s="94">
        <f t="shared" si="4"/>
        <v>1045919</v>
      </c>
      <c r="O36" s="94">
        <f t="shared" si="4"/>
        <v>1002183</v>
      </c>
      <c r="P36" s="94">
        <f t="shared" si="4"/>
        <v>982209</v>
      </c>
      <c r="Q36" s="94">
        <f t="shared" si="4"/>
        <v>948516</v>
      </c>
      <c r="R36" s="94">
        <f t="shared" si="4"/>
        <v>1030572</v>
      </c>
      <c r="S36" s="94">
        <f t="shared" si="4"/>
        <v>930096</v>
      </c>
      <c r="T36" s="94">
        <f t="shared" si="4"/>
        <v>866495</v>
      </c>
      <c r="U36" s="94">
        <f t="shared" si="4"/>
        <v>864256</v>
      </c>
      <c r="V36" s="94">
        <f t="shared" si="4"/>
        <v>1100930</v>
      </c>
    </row>
    <row r="37" spans="5:22" ht="13.8" thickTop="1">
      <c r="F37" s="1"/>
      <c r="G37" s="1"/>
      <c r="H37" s="1"/>
      <c r="I37" s="1"/>
      <c r="J37" s="90"/>
      <c r="K37" s="91"/>
      <c r="L37" s="91"/>
      <c r="M37" s="91"/>
      <c r="N37" s="124"/>
      <c r="O37" s="124"/>
      <c r="P37" s="124"/>
      <c r="Q37" s="124"/>
      <c r="R37" s="124"/>
      <c r="S37" s="124"/>
      <c r="T37" s="124"/>
      <c r="U37" s="124"/>
      <c r="V37" s="124"/>
    </row>
    <row r="38" spans="5:22">
      <c r="F38" s="126" t="s">
        <v>10</v>
      </c>
      <c r="G38" s="126"/>
      <c r="H38" s="126"/>
      <c r="I38" s="126"/>
      <c r="J38" s="133"/>
      <c r="K38" s="95"/>
      <c r="L38" s="95"/>
      <c r="M38" s="95"/>
      <c r="N38" s="124"/>
      <c r="O38" s="124"/>
      <c r="P38" s="124"/>
      <c r="Q38" s="124"/>
      <c r="R38" s="124"/>
      <c r="S38" s="124"/>
      <c r="T38" s="124"/>
      <c r="U38" s="124"/>
      <c r="V38" s="124"/>
    </row>
    <row r="39" spans="5:22" s="4" customFormat="1">
      <c r="E39"/>
      <c r="F39"/>
      <c r="G39" s="126" t="s">
        <v>11</v>
      </c>
      <c r="H39" s="126"/>
      <c r="I39" s="126"/>
      <c r="J39" s="32"/>
      <c r="K39" s="86"/>
      <c r="L39" s="86"/>
      <c r="M39" s="86"/>
      <c r="N39" s="124"/>
      <c r="O39" s="124"/>
      <c r="P39" s="124"/>
      <c r="Q39" s="124"/>
      <c r="R39" s="124"/>
      <c r="S39" s="124"/>
      <c r="T39" s="124"/>
      <c r="U39" s="124"/>
      <c r="V39" s="124"/>
    </row>
    <row r="40" spans="5:22">
      <c r="E40" s="4"/>
      <c r="F40" s="4"/>
      <c r="G40" s="140" t="s">
        <v>12</v>
      </c>
      <c r="H40" s="1"/>
      <c r="I40" s="1"/>
      <c r="J40" s="32">
        <v>28482</v>
      </c>
      <c r="K40" s="32">
        <f>SUM('BS wrksht'!C26)</f>
        <v>182021</v>
      </c>
      <c r="L40" s="32">
        <f>SUM('BS wrksht'!D26)</f>
        <v>466208</v>
      </c>
      <c r="M40" s="32">
        <f>SUM('BS wrksht'!E26)</f>
        <v>113288</v>
      </c>
      <c r="N40" s="32">
        <f>SUM('BS wrksht'!F26)</f>
        <v>66736</v>
      </c>
      <c r="O40" s="32">
        <f>SUM('BS wrksht'!G26)</f>
        <v>83499</v>
      </c>
      <c r="P40" s="32">
        <f>SUM('BS wrksht'!H26)</f>
        <v>78718</v>
      </c>
      <c r="Q40" s="32">
        <f>SUM('BS wrksht'!I26)</f>
        <v>100289</v>
      </c>
      <c r="R40" s="32">
        <f>SUM('BS wrksht'!J26)</f>
        <v>176626</v>
      </c>
      <c r="S40" s="32">
        <f>SUM('BS wrksht'!K26)</f>
        <v>161276</v>
      </c>
      <c r="T40" s="32">
        <f>SUM('BS wrksht'!L26)</f>
        <v>74414</v>
      </c>
      <c r="U40" s="32">
        <f>SUM('BS wrksht'!M26)</f>
        <v>59551</v>
      </c>
      <c r="V40" s="32">
        <f>SUM('BS wrksht'!N26)</f>
        <v>259128</v>
      </c>
    </row>
    <row r="41" spans="5:22" s="4" customFormat="1">
      <c r="E41"/>
      <c r="F41"/>
      <c r="G41" s="140" t="s">
        <v>27</v>
      </c>
      <c r="H41" s="1"/>
      <c r="I41" s="1"/>
      <c r="J41" s="32">
        <v>34033</v>
      </c>
      <c r="K41" s="32">
        <v>32000</v>
      </c>
      <c r="L41" s="32">
        <v>30000</v>
      </c>
      <c r="M41" s="32">
        <v>28000</v>
      </c>
      <c r="N41" s="131">
        <v>26000</v>
      </c>
      <c r="O41" s="131">
        <v>25000</v>
      </c>
      <c r="P41" s="32">
        <v>24000</v>
      </c>
      <c r="Q41" s="32">
        <v>23000</v>
      </c>
      <c r="R41" s="32">
        <v>22000</v>
      </c>
      <c r="S41" s="32">
        <v>15000</v>
      </c>
      <c r="T41" s="32">
        <v>13000</v>
      </c>
      <c r="U41" s="32">
        <v>23000</v>
      </c>
      <c r="V41" s="32">
        <v>36000</v>
      </c>
    </row>
    <row r="42" spans="5:22" s="4" customFormat="1">
      <c r="G42" s="140" t="s">
        <v>101</v>
      </c>
      <c r="H42" s="1"/>
      <c r="I42" s="1"/>
      <c r="J42" s="32">
        <v>6336</v>
      </c>
      <c r="K42" s="32">
        <v>6000</v>
      </c>
      <c r="L42" s="32">
        <v>30000</v>
      </c>
      <c r="M42" s="32">
        <v>18000</v>
      </c>
      <c r="N42" s="32">
        <v>15000</v>
      </c>
      <c r="O42" s="32">
        <v>12000</v>
      </c>
      <c r="P42" s="32">
        <v>7000</v>
      </c>
      <c r="Q42" s="32">
        <v>7000</v>
      </c>
      <c r="R42" s="32">
        <v>36000</v>
      </c>
      <c r="S42" s="32">
        <v>27000</v>
      </c>
      <c r="T42" s="32">
        <v>12500</v>
      </c>
      <c r="U42" s="32">
        <v>6900</v>
      </c>
      <c r="V42" s="32">
        <v>6000</v>
      </c>
    </row>
    <row r="43" spans="5:22" s="4" customFormat="1">
      <c r="G43" s="140" t="s">
        <v>100</v>
      </c>
      <c r="H43" s="1"/>
      <c r="I43" s="1"/>
      <c r="J43" s="32">
        <v>4896</v>
      </c>
      <c r="K43" s="32">
        <v>25000</v>
      </c>
      <c r="L43" s="32">
        <v>50000</v>
      </c>
      <c r="M43" s="32">
        <v>63000</v>
      </c>
      <c r="N43" s="32">
        <v>41000</v>
      </c>
      <c r="O43" s="32">
        <v>13000</v>
      </c>
      <c r="P43" s="32">
        <v>23000</v>
      </c>
      <c r="Q43" s="32">
        <v>30000</v>
      </c>
      <c r="R43" s="32">
        <v>50000</v>
      </c>
      <c r="S43" s="32">
        <v>18000</v>
      </c>
      <c r="T43" s="32">
        <v>4000</v>
      </c>
      <c r="U43" s="32">
        <v>14000</v>
      </c>
      <c r="V43" s="32">
        <v>4000</v>
      </c>
    </row>
    <row r="44" spans="5:22" s="4" customFormat="1">
      <c r="G44" s="140" t="s">
        <v>156</v>
      </c>
      <c r="H44" s="1"/>
      <c r="I44" s="1"/>
      <c r="J44" s="32">
        <v>100000</v>
      </c>
      <c r="K44" s="32">
        <v>78927</v>
      </c>
      <c r="L44" s="32">
        <v>78927.38</v>
      </c>
      <c r="M44" s="32">
        <v>57927.38</v>
      </c>
      <c r="N44" s="32">
        <v>57927.38</v>
      </c>
      <c r="O44" s="32">
        <v>36927.379999999997</v>
      </c>
      <c r="P44" s="32">
        <v>36927.379999999997</v>
      </c>
      <c r="Q44" s="32">
        <v>15927.38</v>
      </c>
      <c r="R44" s="32">
        <v>15927.38</v>
      </c>
      <c r="S44" s="32">
        <v>0</v>
      </c>
      <c r="T44" s="32">
        <v>0</v>
      </c>
      <c r="U44" s="32">
        <v>0</v>
      </c>
      <c r="V44" s="32">
        <v>0</v>
      </c>
    </row>
    <row r="45" spans="5:22">
      <c r="E45" s="4"/>
      <c r="F45" s="4"/>
      <c r="G45" s="140" t="s">
        <v>30</v>
      </c>
      <c r="H45" s="1"/>
      <c r="I45" s="1"/>
      <c r="J45" s="32">
        <v>8448</v>
      </c>
      <c r="K45" s="32">
        <v>8500</v>
      </c>
      <c r="L45" s="32">
        <v>8500</v>
      </c>
      <c r="M45" s="32">
        <v>8500</v>
      </c>
      <c r="N45" s="32">
        <v>8000</v>
      </c>
      <c r="O45" s="32">
        <v>8000</v>
      </c>
      <c r="P45" s="32">
        <v>8000</v>
      </c>
      <c r="Q45" s="32">
        <v>8000</v>
      </c>
      <c r="R45" s="32">
        <v>8000</v>
      </c>
      <c r="S45" s="32">
        <v>8000</v>
      </c>
      <c r="T45" s="32">
        <v>8000</v>
      </c>
      <c r="U45" s="32">
        <v>8000</v>
      </c>
      <c r="V45" s="32">
        <v>8000</v>
      </c>
    </row>
    <row r="46" spans="5:22">
      <c r="G46" s="126" t="s">
        <v>13</v>
      </c>
      <c r="H46" s="126"/>
      <c r="I46" s="126"/>
      <c r="J46" s="92">
        <f t="shared" ref="J46:V46" si="5">SUM(J40:J45)</f>
        <v>182195</v>
      </c>
      <c r="K46" s="92">
        <f t="shared" si="5"/>
        <v>332448</v>
      </c>
      <c r="L46" s="92">
        <f t="shared" si="5"/>
        <v>663635.38</v>
      </c>
      <c r="M46" s="92">
        <f t="shared" si="5"/>
        <v>288715.38</v>
      </c>
      <c r="N46" s="92">
        <f t="shared" si="5"/>
        <v>214663.38</v>
      </c>
      <c r="O46" s="92">
        <f t="shared" si="5"/>
        <v>178426.38</v>
      </c>
      <c r="P46" s="92">
        <f t="shared" si="5"/>
        <v>177645.38</v>
      </c>
      <c r="Q46" s="92">
        <f t="shared" si="5"/>
        <v>184216.38</v>
      </c>
      <c r="R46" s="92">
        <f t="shared" si="5"/>
        <v>308553.38</v>
      </c>
      <c r="S46" s="92">
        <f t="shared" si="5"/>
        <v>229276</v>
      </c>
      <c r="T46" s="92">
        <f t="shared" si="5"/>
        <v>111914</v>
      </c>
      <c r="U46" s="92">
        <f t="shared" si="5"/>
        <v>111451</v>
      </c>
      <c r="V46" s="92">
        <f t="shared" si="5"/>
        <v>313128</v>
      </c>
    </row>
    <row r="47" spans="5:22">
      <c r="F47" s="126"/>
      <c r="G47" s="126" t="s">
        <v>14</v>
      </c>
      <c r="H47" s="126"/>
      <c r="I47" s="126"/>
      <c r="J47" s="90"/>
      <c r="K47" s="91"/>
      <c r="L47" s="91"/>
      <c r="M47" s="91"/>
      <c r="N47" s="124"/>
      <c r="O47" s="124"/>
      <c r="P47" s="124"/>
      <c r="Q47" s="124"/>
      <c r="R47" s="124"/>
      <c r="S47" s="124"/>
      <c r="T47" s="124"/>
      <c r="U47" s="124"/>
      <c r="V47" s="124"/>
    </row>
    <row r="48" spans="5:22">
      <c r="G48" s="140" t="s">
        <v>31</v>
      </c>
      <c r="H48" s="1"/>
      <c r="I48" s="1"/>
      <c r="J48" s="32">
        <v>740601</v>
      </c>
      <c r="K48" s="32">
        <v>786352</v>
      </c>
      <c r="L48" s="32">
        <v>786352</v>
      </c>
      <c r="M48" s="32">
        <v>786352</v>
      </c>
      <c r="N48" s="32">
        <v>786352</v>
      </c>
      <c r="O48" s="32">
        <v>786352</v>
      </c>
      <c r="P48" s="32">
        <v>786352</v>
      </c>
      <c r="Q48" s="32">
        <v>786352</v>
      </c>
      <c r="R48" s="32">
        <v>786352</v>
      </c>
      <c r="S48" s="32">
        <v>786352</v>
      </c>
      <c r="T48" s="32">
        <v>786352</v>
      </c>
      <c r="U48" s="32">
        <v>786352</v>
      </c>
      <c r="V48" s="32">
        <v>786352</v>
      </c>
    </row>
    <row r="49" spans="5:22">
      <c r="F49" s="4"/>
      <c r="G49" s="140" t="s">
        <v>15</v>
      </c>
      <c r="H49" s="1"/>
      <c r="I49" s="1"/>
      <c r="J49" s="32">
        <v>45751</v>
      </c>
      <c r="K49" s="32">
        <f>'Income Statement'!B77</f>
        <v>-32840.380000000005</v>
      </c>
      <c r="L49" s="32">
        <f>K49+'Income Statement'!C77</f>
        <v>-5648.3800000000047</v>
      </c>
      <c r="M49" s="32">
        <f>L49+'Income Statement'!D77</f>
        <v>-1036.3800000000047</v>
      </c>
      <c r="N49" s="32">
        <f>M49+'Income Statement'!E77</f>
        <v>44902.619999999995</v>
      </c>
      <c r="O49" s="32">
        <f>N49+'Income Statement'!F77</f>
        <v>37403.619999999995</v>
      </c>
      <c r="P49" s="32">
        <f>O49+'Income Statement'!G77</f>
        <v>18210.619999999995</v>
      </c>
      <c r="Q49" s="32">
        <f>P49+'Income Statement'!H77</f>
        <v>-22053.380000000005</v>
      </c>
      <c r="R49" s="32">
        <f>Q49+'Income Statement'!I77</f>
        <v>-64334.380000000005</v>
      </c>
      <c r="S49" s="32">
        <f>R49+'Income Statement'!J77</f>
        <v>-85533</v>
      </c>
      <c r="T49" s="32">
        <f>S49+'Income Statement'!K77</f>
        <v>-31772</v>
      </c>
      <c r="U49" s="32">
        <f>T49+'Income Statement'!L77</f>
        <v>-33548</v>
      </c>
      <c r="V49" s="32">
        <f>U49+'Income Statement'!M77</f>
        <v>1449</v>
      </c>
    </row>
    <row r="50" spans="5:22">
      <c r="F50" s="126"/>
      <c r="G50" s="126" t="s">
        <v>16</v>
      </c>
      <c r="H50" s="126"/>
      <c r="I50" s="126"/>
      <c r="J50" s="89">
        <f>SUM(J48:J49)</f>
        <v>786352</v>
      </c>
      <c r="K50" s="89">
        <f>SUM(K48:K49)</f>
        <v>753511.62</v>
      </c>
      <c r="L50" s="89">
        <f>SUM(L48:L49)</f>
        <v>780703.62</v>
      </c>
      <c r="M50" s="89">
        <f t="shared" ref="M50:V50" si="6">SUM(M48:M49)</f>
        <v>785315.62</v>
      </c>
      <c r="N50" s="89">
        <f t="shared" si="6"/>
        <v>831254.62</v>
      </c>
      <c r="O50" s="89">
        <f t="shared" si="6"/>
        <v>823755.62</v>
      </c>
      <c r="P50" s="89">
        <f t="shared" si="6"/>
        <v>804562.62</v>
      </c>
      <c r="Q50" s="89">
        <f t="shared" si="6"/>
        <v>764298.62</v>
      </c>
      <c r="R50" s="89">
        <f t="shared" si="6"/>
        <v>722017.62</v>
      </c>
      <c r="S50" s="89">
        <f t="shared" si="6"/>
        <v>700819</v>
      </c>
      <c r="T50" s="89">
        <f t="shared" si="6"/>
        <v>754580</v>
      </c>
      <c r="U50" s="89">
        <f t="shared" si="6"/>
        <v>752804</v>
      </c>
      <c r="V50" s="89">
        <f t="shared" si="6"/>
        <v>787801</v>
      </c>
    </row>
    <row r="51" spans="5:22" ht="13.8" thickBot="1">
      <c r="F51" s="126"/>
      <c r="G51" s="126" t="s">
        <v>17</v>
      </c>
      <c r="H51" s="126"/>
      <c r="I51" s="126"/>
      <c r="J51" s="94">
        <f>J46+J50</f>
        <v>968547</v>
      </c>
      <c r="K51" s="94">
        <f>K46+K50</f>
        <v>1085959.6200000001</v>
      </c>
      <c r="L51" s="94">
        <f>L46+L50</f>
        <v>1444339</v>
      </c>
      <c r="M51" s="94">
        <f t="shared" ref="M51:V51" si="7">M46+M50</f>
        <v>1074031</v>
      </c>
      <c r="N51" s="94">
        <f t="shared" si="7"/>
        <v>1045918</v>
      </c>
      <c r="O51" s="94">
        <f t="shared" si="7"/>
        <v>1002182</v>
      </c>
      <c r="P51" s="94">
        <f t="shared" si="7"/>
        <v>982208</v>
      </c>
      <c r="Q51" s="94">
        <f t="shared" si="7"/>
        <v>948515</v>
      </c>
      <c r="R51" s="94">
        <f t="shared" si="7"/>
        <v>1030571</v>
      </c>
      <c r="S51" s="94">
        <f t="shared" si="7"/>
        <v>930095</v>
      </c>
      <c r="T51" s="94">
        <f t="shared" si="7"/>
        <v>866494</v>
      </c>
      <c r="U51" s="94">
        <f t="shared" si="7"/>
        <v>864255</v>
      </c>
      <c r="V51" s="94">
        <f t="shared" si="7"/>
        <v>1100929</v>
      </c>
    </row>
    <row r="52" spans="5:22" s="4" customFormat="1" ht="13.8" thickTop="1">
      <c r="E52"/>
      <c r="F52" s="126"/>
      <c r="G52" s="126"/>
      <c r="H52" s="126"/>
      <c r="I52" s="126"/>
      <c r="J52" s="90"/>
      <c r="K52" s="91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</row>
    <row r="53" spans="5:22">
      <c r="E53" s="4"/>
      <c r="F53" s="4"/>
      <c r="G53" s="3" t="s">
        <v>99</v>
      </c>
      <c r="H53" s="4"/>
      <c r="I53" s="4"/>
      <c r="J53" s="131">
        <f t="shared" ref="J53:V53" si="8">J36-J51</f>
        <v>1</v>
      </c>
      <c r="K53" s="131">
        <f t="shared" si="8"/>
        <v>1</v>
      </c>
      <c r="L53" s="131">
        <f t="shared" si="8"/>
        <v>1</v>
      </c>
      <c r="M53" s="131">
        <f t="shared" si="8"/>
        <v>1</v>
      </c>
      <c r="N53" s="131">
        <f t="shared" si="8"/>
        <v>1</v>
      </c>
      <c r="O53" s="131">
        <f t="shared" si="8"/>
        <v>1</v>
      </c>
      <c r="P53" s="131">
        <f t="shared" si="8"/>
        <v>1</v>
      </c>
      <c r="Q53" s="131">
        <f t="shared" si="8"/>
        <v>1</v>
      </c>
      <c r="R53" s="131">
        <f t="shared" si="8"/>
        <v>1</v>
      </c>
      <c r="S53" s="131">
        <f t="shared" si="8"/>
        <v>1</v>
      </c>
      <c r="T53" s="131">
        <f t="shared" si="8"/>
        <v>1</v>
      </c>
      <c r="U53" s="131">
        <f t="shared" si="8"/>
        <v>1</v>
      </c>
      <c r="V53" s="131">
        <f t="shared" si="8"/>
        <v>1</v>
      </c>
    </row>
    <row r="54" spans="5:22"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3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X16" sqref="X16"/>
    </sheetView>
  </sheetViews>
  <sheetFormatPr defaultRowHeight="13.2"/>
  <cols>
    <col min="2" max="2" width="8.33203125" customWidth="1"/>
    <col min="7" max="18" width="10.6640625" customWidth="1"/>
    <col min="19" max="19" width="10.109375" bestFit="1" customWidth="1"/>
  </cols>
  <sheetData>
    <row r="3" spans="1:20">
      <c r="A3" s="259" t="s">
        <v>20</v>
      </c>
      <c r="B3" s="257"/>
      <c r="C3" s="257"/>
      <c r="D3" s="257"/>
      <c r="E3" s="257"/>
      <c r="F3" s="257"/>
      <c r="G3" s="257"/>
    </row>
    <row r="4" spans="1:20">
      <c r="A4" s="259" t="s">
        <v>125</v>
      </c>
      <c r="B4" s="257"/>
      <c r="C4" s="257"/>
      <c r="D4" s="257"/>
      <c r="E4" s="257"/>
      <c r="F4" s="257"/>
      <c r="G4" s="257"/>
    </row>
    <row r="5" spans="1:20">
      <c r="G5" s="7" t="s">
        <v>51</v>
      </c>
      <c r="H5" s="7" t="s">
        <v>52</v>
      </c>
      <c r="I5" s="7" t="s">
        <v>53</v>
      </c>
      <c r="J5" s="7" t="s">
        <v>54</v>
      </c>
      <c r="K5" s="7" t="s">
        <v>55</v>
      </c>
      <c r="L5" s="7" t="s">
        <v>56</v>
      </c>
      <c r="M5" s="7" t="s">
        <v>57</v>
      </c>
      <c r="N5" s="7" t="s">
        <v>58</v>
      </c>
      <c r="O5" s="7" t="s">
        <v>59</v>
      </c>
      <c r="P5" s="7" t="s">
        <v>60</v>
      </c>
      <c r="Q5" s="7" t="s">
        <v>61</v>
      </c>
      <c r="R5" s="7" t="s">
        <v>50</v>
      </c>
      <c r="S5" s="7"/>
      <c r="T5" s="7"/>
    </row>
    <row r="6" spans="1:20">
      <c r="A6" s="3" t="s">
        <v>32</v>
      </c>
    </row>
    <row r="7" spans="1:20">
      <c r="A7" s="1" t="s">
        <v>33</v>
      </c>
      <c r="G7" s="8">
        <f>SUM('Income Statement'!B77)</f>
        <v>-32840.380000000005</v>
      </c>
      <c r="H7" s="8">
        <f>'Income Statement'!C77</f>
        <v>27192</v>
      </c>
      <c r="I7" s="8">
        <f>'Income Statement'!D77</f>
        <v>4612</v>
      </c>
      <c r="J7" s="8">
        <f>'Income Statement'!E77</f>
        <v>45939</v>
      </c>
      <c r="K7" s="8">
        <f>'Income Statement'!F77</f>
        <v>-7499</v>
      </c>
      <c r="L7" s="8">
        <f>'Income Statement'!G77</f>
        <v>-19193</v>
      </c>
      <c r="M7" s="8">
        <f>'Income Statement'!H77</f>
        <v>-40264</v>
      </c>
      <c r="N7" s="8">
        <f>'Income Statement'!I77</f>
        <v>-42281</v>
      </c>
      <c r="O7" s="8">
        <f>'Income Statement'!J77</f>
        <v>-21198.619999999995</v>
      </c>
      <c r="P7" s="8">
        <f>'Income Statement'!K77</f>
        <v>53761</v>
      </c>
      <c r="Q7" s="8">
        <f>'Income Statement'!L77</f>
        <v>-1776</v>
      </c>
      <c r="R7" s="8">
        <f>'Income Statement'!M77</f>
        <v>34997</v>
      </c>
      <c r="S7" s="2">
        <f>SUM(G7:R7)</f>
        <v>1449</v>
      </c>
    </row>
    <row r="8" spans="1:20">
      <c r="A8" s="3" t="s">
        <v>34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>
      <c r="A9" s="5" t="s">
        <v>35</v>
      </c>
      <c r="G9" s="8">
        <f>BS!K31-BS!J31</f>
        <v>0</v>
      </c>
      <c r="H9" s="8">
        <f>BS!L31-BS!K31</f>
        <v>0</v>
      </c>
      <c r="I9" s="8">
        <f>BS!M31-BS!L31</f>
        <v>0</v>
      </c>
      <c r="J9" s="8">
        <f>BS!N31-BS!M31</f>
        <v>0</v>
      </c>
      <c r="K9" s="8">
        <f>BS!O31-BS!N31</f>
        <v>0</v>
      </c>
      <c r="L9" s="8">
        <f>BS!P31-BS!O31</f>
        <v>0</v>
      </c>
      <c r="M9" s="8">
        <f>BS!Q31-BS!P31</f>
        <v>0</v>
      </c>
      <c r="N9" s="8">
        <f>BS!R31-BS!Q31</f>
        <v>0</v>
      </c>
      <c r="O9" s="8">
        <f>BS!S31-BS!R31</f>
        <v>0</v>
      </c>
      <c r="P9" s="8">
        <f>BS!T31-BS!S31</f>
        <v>0</v>
      </c>
      <c r="Q9" s="8">
        <f>BS!U31-BS!T31</f>
        <v>0</v>
      </c>
      <c r="R9" s="8">
        <f>BS!V31-BS!U31</f>
        <v>0</v>
      </c>
      <c r="S9" s="2">
        <f>SUM(G9:R9)</f>
        <v>0</v>
      </c>
    </row>
    <row r="10" spans="1:20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>
      <c r="A11" s="3" t="s">
        <v>36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>
      <c r="A12" s="5" t="s">
        <v>37</v>
      </c>
      <c r="G12" s="8">
        <f>(BS!J22+BS!J23)-(BS!K22+BS!K23)</f>
        <v>-86759</v>
      </c>
      <c r="H12" s="8">
        <f>(BS!K22+BS!K23)-(BS!L22+BS!L23)</f>
        <v>-336150</v>
      </c>
      <c r="I12" s="8">
        <f>(BS!L22+BS!L23)-(BS!M22+BS!M23)</f>
        <v>413500</v>
      </c>
      <c r="J12" s="8">
        <f>(BS!M22+BS!M23)-(BS!N22+BS!N23)</f>
        <v>19000</v>
      </c>
      <c r="K12" s="8">
        <f>(BS!N22+BS!N23)-(BS!O22+BS!O23)</f>
        <v>9000</v>
      </c>
      <c r="L12" s="8">
        <f>(BS!O22+BS!O23)-(BS!P22+BS!P23)</f>
        <v>-25000</v>
      </c>
      <c r="M12" s="8">
        <f>(BS!P22+BS!P23)-(BS!Q22+BS!Q23)</f>
        <v>17000</v>
      </c>
      <c r="N12" s="8">
        <f>(BS!Q22+BS!Q23)-(BS!R22+BS!R23)</f>
        <v>-44800</v>
      </c>
      <c r="O12" s="8">
        <f>(BS!R22+BS!R23)-(BS!S22+BS!S23)</f>
        <v>2070</v>
      </c>
      <c r="P12" s="8">
        <f>(BS!S22+BS!S23)-(BS!T22+BS!T23)</f>
        <v>-37570</v>
      </c>
      <c r="Q12" s="8">
        <f>(BS!T22+BS!T23)-(BS!U22+BS!U23)</f>
        <v>76000</v>
      </c>
      <c r="R12" s="8">
        <f>(BS!U22+BS!U23)-(BS!V22+BS!V23)</f>
        <v>-202000</v>
      </c>
      <c r="S12" s="2">
        <f t="shared" ref="S12:S21" si="0">SUM(G12:R12)</f>
        <v>-195709</v>
      </c>
    </row>
    <row r="13" spans="1:20">
      <c r="A13" s="5" t="s">
        <v>24</v>
      </c>
      <c r="G13" s="8">
        <f>BS!J24-BS!K24</f>
        <v>-300</v>
      </c>
      <c r="H13" s="8">
        <f>BS!K24-BS!L24</f>
        <v>-5700</v>
      </c>
      <c r="I13" s="8">
        <f>BS!L24-BS!M24</f>
        <v>3000</v>
      </c>
      <c r="J13" s="8">
        <f>BS!M24-BS!N24</f>
        <v>-6000</v>
      </c>
      <c r="K13" s="8">
        <f>BS!N24-BS!O24</f>
        <v>9000</v>
      </c>
      <c r="L13" s="8">
        <f>BS!O24-BS!P24</f>
        <v>-3000</v>
      </c>
      <c r="M13" s="8">
        <f>BS!P24-BS!Q24</f>
        <v>-3000</v>
      </c>
      <c r="N13" s="8">
        <f>BS!Q24-BS!R24</f>
        <v>-6000</v>
      </c>
      <c r="O13" s="8">
        <f>BS!R24-BS!S24</f>
        <v>6000</v>
      </c>
      <c r="P13" s="8">
        <f>BS!S24-BS!T24</f>
        <v>0</v>
      </c>
      <c r="Q13" s="8">
        <f>BS!T24-BS!U24</f>
        <v>6000</v>
      </c>
      <c r="R13" s="8">
        <f>BS!U24-BS!V24</f>
        <v>0</v>
      </c>
      <c r="S13" s="2">
        <f t="shared" si="0"/>
        <v>0</v>
      </c>
    </row>
    <row r="14" spans="1:20">
      <c r="A14" s="5" t="s">
        <v>3</v>
      </c>
      <c r="G14" s="8">
        <f>BS!J25-BS!K25</f>
        <v>-952</v>
      </c>
      <c r="H14" s="8">
        <f>BS!K25-BS!L25</f>
        <v>-3000</v>
      </c>
      <c r="I14" s="8">
        <f>BS!L25-BS!M25</f>
        <v>-1000</v>
      </c>
      <c r="J14" s="8">
        <f>BS!M25-BS!N25</f>
        <v>-1000</v>
      </c>
      <c r="K14" s="8">
        <f>BS!N25-BS!O25</f>
        <v>600</v>
      </c>
      <c r="L14" s="8">
        <f>BS!O25-BS!P25</f>
        <v>-4600</v>
      </c>
      <c r="M14" s="8">
        <f>BS!P25-BS!Q25</f>
        <v>600</v>
      </c>
      <c r="N14" s="8">
        <f>BS!Q25-BS!R25</f>
        <v>1000</v>
      </c>
      <c r="O14" s="8">
        <f>BS!R25-BS!S25</f>
        <v>2400</v>
      </c>
      <c r="P14" s="8">
        <f>BS!S25-BS!T25</f>
        <v>4000</v>
      </c>
      <c r="Q14" s="8">
        <f>BS!T25-BS!U25</f>
        <v>1000</v>
      </c>
      <c r="R14" s="8">
        <f>BS!U25-BS!V25</f>
        <v>1000</v>
      </c>
      <c r="S14" s="2">
        <f t="shared" si="0"/>
        <v>48</v>
      </c>
    </row>
    <row r="15" spans="1:20">
      <c r="A15" s="5" t="s">
        <v>25</v>
      </c>
      <c r="G15" s="8">
        <f>BS!J26-BS!K26</f>
        <v>20534</v>
      </c>
      <c r="H15" s="8">
        <f>BS!K26-BS!L26</f>
        <v>0</v>
      </c>
      <c r="I15" s="8">
        <f>BS!L26-BS!M26</f>
        <v>0</v>
      </c>
      <c r="J15" s="8">
        <f>BS!M26-BS!N26</f>
        <v>0</v>
      </c>
      <c r="K15" s="8">
        <f>BS!N26-BS!O26</f>
        <v>0</v>
      </c>
      <c r="L15" s="8">
        <f>BS!O26-BS!P26</f>
        <v>0</v>
      </c>
      <c r="M15" s="8">
        <f>BS!P26-BS!Q26</f>
        <v>0</v>
      </c>
      <c r="N15" s="8">
        <f>BS!Q26-BS!R26</f>
        <v>0</v>
      </c>
      <c r="O15" s="8">
        <f>BS!R26-BS!S26</f>
        <v>0</v>
      </c>
      <c r="P15" s="8">
        <f>BS!S26-BS!T26</f>
        <v>0</v>
      </c>
      <c r="Q15" s="8">
        <f>BS!T26-BS!U26</f>
        <v>0</v>
      </c>
      <c r="R15" s="8">
        <f>BS!U26-BS!V26</f>
        <v>0</v>
      </c>
      <c r="S15" s="2">
        <f t="shared" si="0"/>
        <v>20534</v>
      </c>
    </row>
    <row r="16" spans="1:20">
      <c r="A16" s="5" t="s">
        <v>26</v>
      </c>
      <c r="G16" s="8">
        <f>BS!J35-BS!K35</f>
        <v>-775</v>
      </c>
      <c r="H16" s="8">
        <f>BS!K35-BS!L35</f>
        <v>-775</v>
      </c>
      <c r="I16" s="8">
        <f>BS!L35-BS!M35</f>
        <v>-775</v>
      </c>
      <c r="J16" s="8">
        <f>BS!M35-BS!N35</f>
        <v>-775</v>
      </c>
      <c r="K16" s="8">
        <f>BS!N35-BS!O35</f>
        <v>-775</v>
      </c>
      <c r="L16" s="8">
        <f>BS!O35-BS!P35</f>
        <v>-775</v>
      </c>
      <c r="M16" s="8">
        <f>BS!P35-BS!Q35</f>
        <v>-775</v>
      </c>
      <c r="N16" s="8">
        <f>BS!Q35-BS!R35</f>
        <v>-775</v>
      </c>
      <c r="O16" s="8">
        <f>BS!R35-BS!S35</f>
        <v>-775</v>
      </c>
      <c r="P16" s="8">
        <f>BS!S35-BS!T35</f>
        <v>-775</v>
      </c>
      <c r="Q16" s="8">
        <f>BS!T35-BS!U35</f>
        <v>-775</v>
      </c>
      <c r="R16" s="8">
        <f>BS!U35-BS!V35</f>
        <v>-775</v>
      </c>
      <c r="S16" s="2">
        <f>SUM(G16:R16)</f>
        <v>-9300</v>
      </c>
    </row>
    <row r="17" spans="1:19">
      <c r="A17" s="5" t="s">
        <v>38</v>
      </c>
      <c r="G17" s="8">
        <f>BS!K40-BS!J40</f>
        <v>153539</v>
      </c>
      <c r="H17" s="8">
        <f>BS!L40-BS!K40</f>
        <v>284187</v>
      </c>
      <c r="I17" s="8">
        <f>BS!M40-BS!L40</f>
        <v>-352920</v>
      </c>
      <c r="J17" s="8">
        <f>BS!N40-BS!M40</f>
        <v>-46552</v>
      </c>
      <c r="K17" s="8">
        <f>BS!O40-BS!N40</f>
        <v>16763</v>
      </c>
      <c r="L17" s="8">
        <f>BS!P40-BS!O40</f>
        <v>-4781</v>
      </c>
      <c r="M17" s="8">
        <f>BS!Q40-BS!P40</f>
        <v>21571</v>
      </c>
      <c r="N17" s="8">
        <f>BS!R40-BS!Q40</f>
        <v>76337</v>
      </c>
      <c r="O17" s="8">
        <f>BS!S40-BS!R40</f>
        <v>-15350</v>
      </c>
      <c r="P17" s="8">
        <f>BS!T40-BS!S40</f>
        <v>-86862</v>
      </c>
      <c r="Q17" s="8">
        <f>BS!U40-BS!T40</f>
        <v>-14863</v>
      </c>
      <c r="R17" s="8">
        <f>BS!V40-BS!U40</f>
        <v>199577</v>
      </c>
      <c r="S17" s="2">
        <f t="shared" si="0"/>
        <v>230646</v>
      </c>
    </row>
    <row r="18" spans="1:19">
      <c r="A18" s="5" t="s">
        <v>44</v>
      </c>
      <c r="G18" s="8">
        <f>(BS!K42-BS!J42)+(BS!K43-BS!J43)+(BS!K44-BS!J44)</f>
        <v>-1305</v>
      </c>
      <c r="H18" s="8">
        <f>(BS!L42-BS!K42)+(BS!L43-BS!K43)+(BS!L44-BS!K44)</f>
        <v>49000.380000000005</v>
      </c>
      <c r="I18" s="8">
        <f>(BS!M42-BS!L42)+(BS!M43-BS!L43)+(BS!M44-BS!L44)</f>
        <v>-20000.000000000007</v>
      </c>
      <c r="J18" s="8">
        <f>(BS!N42-BS!M42)+(BS!N43-BS!M43)+(BS!N44-BS!M44)</f>
        <v>-25000</v>
      </c>
      <c r="K18" s="8">
        <f>(BS!O42-BS!N42)+(BS!O43-BS!N43)+(BS!O44-BS!N44)</f>
        <v>-52000</v>
      </c>
      <c r="L18" s="8">
        <f>(BS!P42-BS!O42)+(BS!P43-BS!O43)+(BS!P44-BS!O44)</f>
        <v>5000</v>
      </c>
      <c r="M18" s="8">
        <f>(BS!Q42-BS!P42)+(BS!Q43-BS!P43)+(BS!Q44-BS!P44)</f>
        <v>-14000</v>
      </c>
      <c r="N18" s="8">
        <f>(BS!R42-BS!Q42)+(BS!R43-BS!Q43)+(BS!R44-BS!Q44)</f>
        <v>49000</v>
      </c>
      <c r="O18" s="8">
        <f>(BS!S42-BS!R42)+(BS!S43-BS!R43)+(BS!S44-BS!R44)</f>
        <v>-56927.38</v>
      </c>
      <c r="P18" s="8">
        <f>(BS!T42-BS!S42)+(BS!T43-BS!S43)+(BS!T44-BS!S44)</f>
        <v>-28500</v>
      </c>
      <c r="Q18" s="8">
        <f>(BS!U42-BS!T42)+(BS!U43-BS!T43)+(BS!U44-BS!T44)</f>
        <v>4400</v>
      </c>
      <c r="R18" s="8">
        <f>(BS!V42-BS!U42)+(BS!V43-BS!U43)+(BS!V44-BS!U44)</f>
        <v>-10900</v>
      </c>
      <c r="S18" s="2">
        <f t="shared" si="0"/>
        <v>-101232</v>
      </c>
    </row>
    <row r="19" spans="1:19">
      <c r="A19" s="5" t="s">
        <v>45</v>
      </c>
      <c r="G19" s="8">
        <f>BS!K41-BS!J41</f>
        <v>-2033</v>
      </c>
      <c r="H19" s="8">
        <f>BS!L41-BS!K41</f>
        <v>-2000</v>
      </c>
      <c r="I19" s="8">
        <f>BS!M41-BS!L41</f>
        <v>-2000</v>
      </c>
      <c r="J19" s="8">
        <f>BS!N41-BS!M41</f>
        <v>-2000</v>
      </c>
      <c r="K19" s="8">
        <f>BS!O41-BS!N41</f>
        <v>-1000</v>
      </c>
      <c r="L19" s="8">
        <f>BS!P41-BS!O41</f>
        <v>-1000</v>
      </c>
      <c r="M19" s="8">
        <f>BS!Q41-BS!P41</f>
        <v>-1000</v>
      </c>
      <c r="N19" s="8">
        <f>BS!R41-BS!Q41</f>
        <v>-1000</v>
      </c>
      <c r="O19" s="8">
        <f>BS!S41-BS!R41</f>
        <v>-7000</v>
      </c>
      <c r="P19" s="8">
        <f>BS!T41-BS!S41</f>
        <v>-2000</v>
      </c>
      <c r="Q19" s="8">
        <f>BS!U41-BS!T41</f>
        <v>10000</v>
      </c>
      <c r="R19" s="8">
        <f>BS!V41-BS!U41</f>
        <v>13000</v>
      </c>
      <c r="S19" s="2">
        <f t="shared" si="0"/>
        <v>1967</v>
      </c>
    </row>
    <row r="20" spans="1:19">
      <c r="A20" s="5" t="s">
        <v>30</v>
      </c>
      <c r="G20" s="8">
        <f>BS!K45-BS!J45</f>
        <v>52</v>
      </c>
      <c r="H20" s="8">
        <f>BS!L45-BS!K45</f>
        <v>0</v>
      </c>
      <c r="I20" s="8">
        <f>BS!M45-BS!L45</f>
        <v>0</v>
      </c>
      <c r="J20" s="8">
        <f>BS!N45-BS!M45</f>
        <v>-500</v>
      </c>
      <c r="K20" s="8">
        <f>BS!O45-BS!N45</f>
        <v>0</v>
      </c>
      <c r="L20" s="8">
        <f>BS!P45-BS!O45</f>
        <v>0</v>
      </c>
      <c r="M20" s="8">
        <f>BS!Q45-BS!P45</f>
        <v>0</v>
      </c>
      <c r="N20" s="8">
        <f>BS!R45-BS!Q45</f>
        <v>0</v>
      </c>
      <c r="O20" s="8">
        <f>BS!S45-BS!R45</f>
        <v>0</v>
      </c>
      <c r="P20" s="8">
        <f>BS!T45-BS!S45</f>
        <v>0</v>
      </c>
      <c r="Q20" s="8">
        <f>BS!U45-BS!T45</f>
        <v>0</v>
      </c>
      <c r="R20" s="8">
        <f>BS!V45-BS!U45</f>
        <v>0</v>
      </c>
      <c r="S20" s="2">
        <f t="shared" si="0"/>
        <v>-448</v>
      </c>
    </row>
    <row r="21" spans="1:19">
      <c r="A21" s="3" t="s">
        <v>39</v>
      </c>
      <c r="G21" s="8">
        <f>SUM(G7:G20)</f>
        <v>49160.619999999995</v>
      </c>
      <c r="H21" s="8">
        <f t="shared" ref="H21:R21" si="1">SUM(H7:H20)</f>
        <v>12754.380000000005</v>
      </c>
      <c r="I21" s="8">
        <f t="shared" si="1"/>
        <v>44416.999999999993</v>
      </c>
      <c r="J21" s="8">
        <f t="shared" si="1"/>
        <v>-16888</v>
      </c>
      <c r="K21" s="8">
        <f t="shared" si="1"/>
        <v>-25911</v>
      </c>
      <c r="L21" s="8">
        <f t="shared" si="1"/>
        <v>-53349</v>
      </c>
      <c r="M21" s="8">
        <f t="shared" si="1"/>
        <v>-19868</v>
      </c>
      <c r="N21" s="8">
        <f t="shared" si="1"/>
        <v>31481</v>
      </c>
      <c r="O21" s="8">
        <f t="shared" si="1"/>
        <v>-90781</v>
      </c>
      <c r="P21" s="8">
        <f t="shared" si="1"/>
        <v>-97946</v>
      </c>
      <c r="Q21" s="8">
        <f t="shared" si="1"/>
        <v>79986</v>
      </c>
      <c r="R21" s="8">
        <f t="shared" si="1"/>
        <v>34899</v>
      </c>
      <c r="S21" s="2">
        <f t="shared" si="0"/>
        <v>-52045</v>
      </c>
    </row>
    <row r="22" spans="1:19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>
      <c r="A23" s="3" t="s">
        <v>40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>
      <c r="A24" s="5" t="s">
        <v>41</v>
      </c>
      <c r="G24" s="8">
        <f>BS!J30-BS!K30</f>
        <v>0</v>
      </c>
      <c r="H24" s="8">
        <f>BS!K30-BS!L30</f>
        <v>0</v>
      </c>
      <c r="I24" s="8">
        <f>BS!L30-BS!M30</f>
        <v>0</v>
      </c>
      <c r="J24" s="8">
        <f>BS!M30-BS!N30</f>
        <v>0</v>
      </c>
      <c r="K24" s="8">
        <f>BS!N30-BS!O30</f>
        <v>0</v>
      </c>
      <c r="L24" s="8">
        <f>BS!O30-BS!P30</f>
        <v>0</v>
      </c>
      <c r="M24" s="8">
        <f>BS!P30-BS!Q30</f>
        <v>0</v>
      </c>
      <c r="N24" s="8">
        <f>BS!Q30-BS!R30</f>
        <v>0</v>
      </c>
      <c r="O24" s="8">
        <f>BS!R30-BS!S30</f>
        <v>0</v>
      </c>
      <c r="P24" s="8">
        <f>BS!S30-BS!T30</f>
        <v>0</v>
      </c>
      <c r="Q24" s="8">
        <f>BS!T30-BS!U30</f>
        <v>0</v>
      </c>
      <c r="R24" s="8">
        <f>BS!U30-BS!V30</f>
        <v>0</v>
      </c>
      <c r="S24" s="2">
        <f>SUM(G24:R24)</f>
        <v>0</v>
      </c>
    </row>
    <row r="25" spans="1:19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>
      <c r="A26" s="3" t="s">
        <v>42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>
      <c r="A27" s="5" t="s">
        <v>46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>
      <c r="A29" s="3" t="s">
        <v>43</v>
      </c>
      <c r="G29" s="8">
        <f>G21+G24+G27</f>
        <v>49160.619999999995</v>
      </c>
      <c r="H29" s="8">
        <f t="shared" ref="H29:R29" si="2">H21+H24+H27</f>
        <v>12754.380000000005</v>
      </c>
      <c r="I29" s="8">
        <f t="shared" si="2"/>
        <v>44416.999999999993</v>
      </c>
      <c r="J29" s="8">
        <f t="shared" si="2"/>
        <v>-16888</v>
      </c>
      <c r="K29" s="8">
        <f t="shared" si="2"/>
        <v>-25911</v>
      </c>
      <c r="L29" s="8">
        <f t="shared" si="2"/>
        <v>-53349</v>
      </c>
      <c r="M29" s="8">
        <f t="shared" si="2"/>
        <v>-19868</v>
      </c>
      <c r="N29" s="8">
        <f t="shared" si="2"/>
        <v>31481</v>
      </c>
      <c r="O29" s="8">
        <f t="shared" si="2"/>
        <v>-90781</v>
      </c>
      <c r="P29" s="8">
        <f t="shared" si="2"/>
        <v>-97946</v>
      </c>
      <c r="Q29" s="8">
        <f t="shared" si="2"/>
        <v>79986</v>
      </c>
      <c r="R29" s="8">
        <f t="shared" si="2"/>
        <v>34899</v>
      </c>
      <c r="S29" s="2">
        <f>SUM(G29:R29)</f>
        <v>-52045</v>
      </c>
    </row>
    <row r="30" spans="1:19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>
      <c r="A31" s="3" t="s">
        <v>47</v>
      </c>
      <c r="G31" s="8">
        <f>BS!J21</f>
        <v>630563</v>
      </c>
      <c r="H31" s="8">
        <f>BS!K21</f>
        <v>679723.62</v>
      </c>
      <c r="I31" s="8">
        <f>BS!L21</f>
        <v>692478</v>
      </c>
      <c r="J31" s="8">
        <f>BS!M21</f>
        <v>736895</v>
      </c>
      <c r="K31" s="8">
        <f>BS!N21</f>
        <v>720007</v>
      </c>
      <c r="L31" s="8">
        <f>BS!O21</f>
        <v>694096</v>
      </c>
      <c r="M31" s="8">
        <f>BS!P21</f>
        <v>640747</v>
      </c>
      <c r="N31" s="8">
        <f>BS!Q21</f>
        <v>620879</v>
      </c>
      <c r="O31" s="8">
        <f>BS!R21</f>
        <v>652360</v>
      </c>
      <c r="P31" s="8">
        <f>BS!S21</f>
        <v>561579</v>
      </c>
      <c r="Q31" s="8">
        <f>BS!T21</f>
        <v>463633</v>
      </c>
      <c r="R31" s="8">
        <f>BS!U21</f>
        <v>543619</v>
      </c>
    </row>
    <row r="32" spans="1:19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>
      <c r="A33" s="3" t="s">
        <v>48</v>
      </c>
      <c r="G33" s="8">
        <f>G29+G31</f>
        <v>679723.62</v>
      </c>
      <c r="H33" s="8">
        <f t="shared" ref="H33:R33" si="3">H29+H31</f>
        <v>692478</v>
      </c>
      <c r="I33" s="8">
        <f t="shared" si="3"/>
        <v>736895</v>
      </c>
      <c r="J33" s="8">
        <f t="shared" si="3"/>
        <v>720007</v>
      </c>
      <c r="K33" s="8">
        <f t="shared" si="3"/>
        <v>694096</v>
      </c>
      <c r="L33" s="8">
        <f t="shared" si="3"/>
        <v>640747</v>
      </c>
      <c r="M33" s="8">
        <f t="shared" si="3"/>
        <v>620879</v>
      </c>
      <c r="N33" s="8">
        <f t="shared" si="3"/>
        <v>652360</v>
      </c>
      <c r="O33" s="8">
        <f t="shared" si="3"/>
        <v>561579</v>
      </c>
      <c r="P33" s="8">
        <f t="shared" si="3"/>
        <v>463633</v>
      </c>
      <c r="Q33" s="8">
        <f t="shared" si="3"/>
        <v>543619</v>
      </c>
      <c r="R33" s="8">
        <f t="shared" si="3"/>
        <v>578518</v>
      </c>
    </row>
    <row r="34" spans="1:18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>
      <c r="A35" s="4" t="s">
        <v>49</v>
      </c>
      <c r="G35" s="8">
        <f>G33-BS!K21</f>
        <v>0</v>
      </c>
      <c r="H35" s="8">
        <f>H33-BS!L21</f>
        <v>0</v>
      </c>
      <c r="I35" s="8">
        <f>I33-BS!M21</f>
        <v>0</v>
      </c>
      <c r="J35" s="8">
        <f>J33-BS!N21</f>
        <v>0</v>
      </c>
      <c r="K35" s="8">
        <f>K33-BS!O21</f>
        <v>0</v>
      </c>
      <c r="L35" s="8">
        <f>L33-BS!P21</f>
        <v>0</v>
      </c>
      <c r="M35" s="8">
        <f>M33-BS!Q21</f>
        <v>0</v>
      </c>
      <c r="N35" s="8">
        <f>N33-BS!R21</f>
        <v>0</v>
      </c>
      <c r="O35" s="8">
        <f>O33-BS!S21</f>
        <v>0</v>
      </c>
      <c r="P35" s="8">
        <f>P33-BS!T21</f>
        <v>0</v>
      </c>
      <c r="Q35" s="8">
        <f>Q33-BS!U21</f>
        <v>0</v>
      </c>
      <c r="R35" s="8">
        <f>R33-BS!V21</f>
        <v>0</v>
      </c>
    </row>
    <row r="36" spans="1:18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A2" sqref="A2"/>
    </sheetView>
  </sheetViews>
  <sheetFormatPr defaultRowHeight="13.2"/>
  <cols>
    <col min="1" max="1" width="36.5546875" customWidth="1"/>
    <col min="2" max="2" width="18.5546875" style="103" customWidth="1"/>
    <col min="3" max="14" width="15.6640625" style="103" customWidth="1"/>
  </cols>
  <sheetData>
    <row r="1" spans="1:15" s="119" customFormat="1" ht="14.4">
      <c r="B1" s="34" t="s">
        <v>151</v>
      </c>
      <c r="C1" s="104" t="s">
        <v>51</v>
      </c>
      <c r="D1" s="104" t="s">
        <v>52</v>
      </c>
      <c r="E1" s="104" t="s">
        <v>53</v>
      </c>
      <c r="F1" s="104" t="s">
        <v>54</v>
      </c>
      <c r="G1" s="104" t="s">
        <v>55</v>
      </c>
      <c r="H1" s="104" t="s">
        <v>56</v>
      </c>
      <c r="I1" s="104" t="s">
        <v>57</v>
      </c>
      <c r="J1" s="104" t="s">
        <v>58</v>
      </c>
      <c r="K1" s="104" t="s">
        <v>59</v>
      </c>
      <c r="L1" s="104" t="s">
        <v>60</v>
      </c>
      <c r="M1" s="104" t="s">
        <v>61</v>
      </c>
      <c r="N1" s="104" t="s">
        <v>50</v>
      </c>
    </row>
    <row r="2" spans="1:15" s="119" customFormat="1" ht="14.4">
      <c r="A2" s="253" t="s">
        <v>102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</row>
    <row r="3" spans="1:15">
      <c r="A3" s="4"/>
    </row>
    <row r="4" spans="1:15">
      <c r="A4" s="4" t="s">
        <v>141</v>
      </c>
      <c r="B4" s="103">
        <v>19481.759999999998</v>
      </c>
      <c r="E4" s="103">
        <v>20000</v>
      </c>
      <c r="F4" s="103">
        <v>0</v>
      </c>
      <c r="G4" s="103">
        <v>0</v>
      </c>
      <c r="H4" s="103">
        <v>20000</v>
      </c>
      <c r="I4" s="103">
        <v>0</v>
      </c>
      <c r="J4" s="103">
        <v>4000</v>
      </c>
      <c r="K4" s="103">
        <v>44000</v>
      </c>
      <c r="L4" s="103">
        <v>72000</v>
      </c>
      <c r="M4" s="103">
        <v>12000</v>
      </c>
      <c r="N4" s="103">
        <v>17000</v>
      </c>
    </row>
    <row r="5" spans="1:15">
      <c r="A5" s="4" t="s">
        <v>142</v>
      </c>
      <c r="B5" s="103">
        <v>7905.33</v>
      </c>
      <c r="C5" s="103">
        <v>115000</v>
      </c>
      <c r="D5" s="103">
        <v>425450</v>
      </c>
      <c r="E5" s="103">
        <v>14950</v>
      </c>
      <c r="F5" s="103">
        <v>9950</v>
      </c>
      <c r="G5" s="103">
        <v>9950</v>
      </c>
      <c r="H5" s="103">
        <v>10450</v>
      </c>
      <c r="I5" s="103">
        <v>10450</v>
      </c>
      <c r="J5" s="103">
        <v>45250</v>
      </c>
      <c r="K5" s="103">
        <v>9450</v>
      </c>
      <c r="L5" s="103">
        <v>18750</v>
      </c>
      <c r="M5" s="103">
        <v>8750</v>
      </c>
      <c r="N5" s="103">
        <v>205750</v>
      </c>
    </row>
    <row r="6" spans="1:15">
      <c r="A6" s="4" t="s">
        <v>70</v>
      </c>
      <c r="B6" s="105"/>
      <c r="C6" s="103">
        <v>0</v>
      </c>
      <c r="D6" s="103">
        <v>20000</v>
      </c>
      <c r="E6" s="103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/>
    </row>
    <row r="7" spans="1:15">
      <c r="A7" s="4" t="s">
        <v>143</v>
      </c>
      <c r="B7" s="105"/>
      <c r="C7" s="103">
        <v>12833</v>
      </c>
      <c r="D7" s="103">
        <v>12833</v>
      </c>
      <c r="E7" s="103">
        <v>12833</v>
      </c>
      <c r="F7" s="103">
        <v>12833</v>
      </c>
      <c r="G7" s="103">
        <v>12833</v>
      </c>
      <c r="H7" s="103">
        <v>14333</v>
      </c>
      <c r="I7" s="103">
        <v>14333</v>
      </c>
      <c r="J7" s="103">
        <v>14333</v>
      </c>
      <c r="K7" s="103">
        <v>14333</v>
      </c>
      <c r="L7" s="103">
        <v>14333</v>
      </c>
      <c r="M7" s="103">
        <v>14333</v>
      </c>
      <c r="N7" s="103">
        <v>14333</v>
      </c>
    </row>
    <row r="8" spans="1:15">
      <c r="A8" s="4" t="s">
        <v>134</v>
      </c>
      <c r="C8" s="103">
        <v>-27387.09</v>
      </c>
      <c r="D8" s="103">
        <v>-127833</v>
      </c>
      <c r="E8" s="103">
        <v>-458283</v>
      </c>
      <c r="F8" s="103">
        <v>-47783</v>
      </c>
      <c r="G8" s="103">
        <v>-22783</v>
      </c>
      <c r="H8" s="103">
        <v>-22783</v>
      </c>
      <c r="I8" s="103">
        <v>-44783</v>
      </c>
      <c r="J8" s="103">
        <v>-24783</v>
      </c>
      <c r="K8" s="103">
        <v>-63853</v>
      </c>
      <c r="L8" s="103">
        <v>-67513</v>
      </c>
      <c r="M8" s="103">
        <v>-105083</v>
      </c>
      <c r="N8" s="103">
        <v>-35083</v>
      </c>
    </row>
    <row r="9" spans="1:15" s="119" customFormat="1" ht="14.4">
      <c r="A9" s="119" t="s">
        <v>103</v>
      </c>
      <c r="B9" s="104">
        <f>SUM(B4:B8)</f>
        <v>27387.089999999997</v>
      </c>
      <c r="C9" s="104">
        <f>SUM(B9+C4+C5+C6+C7+C8)</f>
        <v>127833</v>
      </c>
      <c r="D9" s="104">
        <f t="shared" ref="D9:N9" si="0">SUM(C9+D4+D5+D6+D7+D8)</f>
        <v>458283</v>
      </c>
      <c r="E9" s="104">
        <f t="shared" si="0"/>
        <v>47783</v>
      </c>
      <c r="F9" s="104">
        <f t="shared" si="0"/>
        <v>22783</v>
      </c>
      <c r="G9" s="104">
        <f t="shared" si="0"/>
        <v>22783</v>
      </c>
      <c r="H9" s="104">
        <f t="shared" si="0"/>
        <v>44783</v>
      </c>
      <c r="I9" s="104">
        <f t="shared" si="0"/>
        <v>24783</v>
      </c>
      <c r="J9" s="104">
        <f t="shared" si="0"/>
        <v>63583</v>
      </c>
      <c r="K9" s="104">
        <f t="shared" si="0"/>
        <v>67513</v>
      </c>
      <c r="L9" s="104">
        <f t="shared" si="0"/>
        <v>105083</v>
      </c>
      <c r="M9" s="104">
        <f t="shared" si="0"/>
        <v>35083</v>
      </c>
      <c r="N9" s="104">
        <f t="shared" si="0"/>
        <v>237083</v>
      </c>
    </row>
    <row r="11" spans="1:15" ht="14.4">
      <c r="A11" s="121" t="s">
        <v>104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4"/>
    </row>
    <row r="12" spans="1:15">
      <c r="A12" s="4" t="s">
        <v>157</v>
      </c>
      <c r="B12" s="105">
        <v>0</v>
      </c>
      <c r="C12" s="105">
        <v>300</v>
      </c>
      <c r="D12" s="105">
        <v>6000</v>
      </c>
      <c r="E12" s="105">
        <v>3000</v>
      </c>
      <c r="F12" s="105">
        <v>9000</v>
      </c>
      <c r="G12" s="105">
        <v>0</v>
      </c>
      <c r="H12" s="105">
        <v>3000</v>
      </c>
      <c r="I12" s="105">
        <v>6000</v>
      </c>
      <c r="J12" s="105">
        <v>12000</v>
      </c>
      <c r="K12" s="105">
        <v>6000</v>
      </c>
      <c r="L12" s="105">
        <v>6000</v>
      </c>
      <c r="M12" s="105">
        <v>0</v>
      </c>
      <c r="N12" s="105">
        <v>6000</v>
      </c>
      <c r="O12" s="4"/>
    </row>
    <row r="13" spans="1:15">
      <c r="A13" s="4" t="s">
        <v>105</v>
      </c>
      <c r="B13" s="105"/>
      <c r="C13" s="105"/>
      <c r="D13" s="105">
        <v>-300</v>
      </c>
      <c r="E13" s="105">
        <v>-6000</v>
      </c>
      <c r="F13" s="105">
        <v>-3000</v>
      </c>
      <c r="G13" s="105">
        <v>-9000</v>
      </c>
      <c r="H13" s="105">
        <v>0</v>
      </c>
      <c r="I13" s="105">
        <v>-3000</v>
      </c>
      <c r="J13" s="105">
        <v>-6000</v>
      </c>
      <c r="K13" s="105">
        <v>-12000</v>
      </c>
      <c r="L13" s="105">
        <v>-6000</v>
      </c>
      <c r="M13" s="105">
        <v>-6000</v>
      </c>
      <c r="N13" s="105">
        <v>-6000</v>
      </c>
      <c r="O13" s="4"/>
    </row>
    <row r="14" spans="1:15" ht="14.4">
      <c r="A14" s="121" t="s">
        <v>63</v>
      </c>
      <c r="B14" s="122">
        <v>0</v>
      </c>
      <c r="C14" s="105">
        <f>SUM(B12+C12+C13)</f>
        <v>300</v>
      </c>
      <c r="D14" s="105">
        <f>SUM(C14+D12+D13)</f>
        <v>6000</v>
      </c>
      <c r="E14" s="105">
        <f t="shared" ref="E14:N14" si="1">SUM(D14+E12+E13)</f>
        <v>3000</v>
      </c>
      <c r="F14" s="105">
        <f t="shared" si="1"/>
        <v>9000</v>
      </c>
      <c r="G14" s="105">
        <f t="shared" si="1"/>
        <v>0</v>
      </c>
      <c r="H14" s="105">
        <f t="shared" si="1"/>
        <v>3000</v>
      </c>
      <c r="I14" s="105">
        <f t="shared" si="1"/>
        <v>6000</v>
      </c>
      <c r="J14" s="105">
        <f t="shared" si="1"/>
        <v>12000</v>
      </c>
      <c r="K14" s="105">
        <f t="shared" si="1"/>
        <v>6000</v>
      </c>
      <c r="L14" s="105">
        <f t="shared" si="1"/>
        <v>6000</v>
      </c>
      <c r="M14" s="105">
        <f t="shared" si="1"/>
        <v>0</v>
      </c>
      <c r="N14" s="105">
        <f t="shared" si="1"/>
        <v>0</v>
      </c>
      <c r="O14" s="4"/>
    </row>
    <row r="15" spans="1:15" ht="14.4">
      <c r="A15" s="121"/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4"/>
    </row>
    <row r="16" spans="1:15" ht="14.4">
      <c r="A16" s="121" t="s">
        <v>24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</row>
    <row r="17" spans="1:14">
      <c r="A17" s="4"/>
      <c r="B17" s="105">
        <v>41872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</row>
    <row r="18" spans="1:14">
      <c r="A18" s="4" t="s">
        <v>154</v>
      </c>
      <c r="B18" s="105"/>
      <c r="C18" s="105">
        <v>300</v>
      </c>
      <c r="D18" s="105">
        <v>6000</v>
      </c>
      <c r="E18" s="105">
        <v>3000</v>
      </c>
      <c r="F18" s="105">
        <v>9000</v>
      </c>
      <c r="G18" s="105">
        <v>0</v>
      </c>
      <c r="H18" s="105">
        <v>3000</v>
      </c>
      <c r="I18" s="105">
        <v>6000</v>
      </c>
      <c r="J18" s="105">
        <v>12000</v>
      </c>
      <c r="K18" s="105">
        <v>6000</v>
      </c>
      <c r="L18" s="105">
        <v>6000</v>
      </c>
      <c r="M18" s="105">
        <v>0</v>
      </c>
      <c r="N18" s="105">
        <v>6000</v>
      </c>
    </row>
    <row r="19" spans="1:14">
      <c r="A19" s="4" t="s">
        <v>155</v>
      </c>
      <c r="B19" s="105"/>
      <c r="C19" s="105"/>
      <c r="D19" s="105">
        <v>-300</v>
      </c>
      <c r="E19" s="105">
        <v>-6000</v>
      </c>
      <c r="F19" s="105">
        <v>-3000</v>
      </c>
      <c r="G19" s="105">
        <v>-9000</v>
      </c>
      <c r="H19" s="105">
        <v>0</v>
      </c>
      <c r="I19" s="105">
        <v>-3000</v>
      </c>
      <c r="J19" s="105">
        <v>-6000</v>
      </c>
      <c r="K19" s="105">
        <v>-12000</v>
      </c>
      <c r="L19" s="105">
        <v>-6000</v>
      </c>
      <c r="M19" s="105">
        <v>-6000</v>
      </c>
      <c r="N19" s="105">
        <v>-6000</v>
      </c>
    </row>
    <row r="20" spans="1:14">
      <c r="A20" s="4" t="s">
        <v>62</v>
      </c>
      <c r="B20" s="105"/>
      <c r="C20" s="105">
        <f>SUM(B17+C18+C19)</f>
        <v>42172</v>
      </c>
      <c r="D20" s="105">
        <f>SUM(C20+D18+D19)</f>
        <v>47872</v>
      </c>
      <c r="E20" s="105">
        <f t="shared" ref="E20:N20" si="2">SUM(D20+E18+E19)</f>
        <v>44872</v>
      </c>
      <c r="F20" s="105">
        <f t="shared" si="2"/>
        <v>50872</v>
      </c>
      <c r="G20" s="105">
        <f t="shared" si="2"/>
        <v>41872</v>
      </c>
      <c r="H20" s="105">
        <f t="shared" si="2"/>
        <v>44872</v>
      </c>
      <c r="I20" s="105">
        <f t="shared" si="2"/>
        <v>47872</v>
      </c>
      <c r="J20" s="105">
        <f t="shared" si="2"/>
        <v>53872</v>
      </c>
      <c r="K20" s="105">
        <f t="shared" si="2"/>
        <v>47872</v>
      </c>
      <c r="L20" s="105">
        <f t="shared" si="2"/>
        <v>47872</v>
      </c>
      <c r="M20" s="105">
        <f t="shared" si="2"/>
        <v>41872</v>
      </c>
      <c r="N20" s="105">
        <f t="shared" si="2"/>
        <v>41872</v>
      </c>
    </row>
    <row r="21" spans="1:14">
      <c r="A21" s="4"/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</row>
    <row r="22" spans="1:14" ht="14.4">
      <c r="A22" s="121" t="s">
        <v>106</v>
      </c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</row>
    <row r="23" spans="1:14">
      <c r="A23" s="4" t="s">
        <v>107</v>
      </c>
      <c r="B23" s="105">
        <v>28482</v>
      </c>
      <c r="C23" s="105">
        <v>28482</v>
      </c>
      <c r="D23" s="105">
        <f>C26</f>
        <v>182021</v>
      </c>
      <c r="E23" s="105">
        <f>D26</f>
        <v>466208</v>
      </c>
      <c r="F23" s="105">
        <f t="shared" ref="F23:N23" si="3">E26</f>
        <v>113288</v>
      </c>
      <c r="G23" s="105">
        <f t="shared" si="3"/>
        <v>66736</v>
      </c>
      <c r="H23" s="105">
        <f t="shared" si="3"/>
        <v>83499</v>
      </c>
      <c r="I23" s="105">
        <f t="shared" si="3"/>
        <v>78718</v>
      </c>
      <c r="J23" s="105">
        <f t="shared" si="3"/>
        <v>100289</v>
      </c>
      <c r="K23" s="105">
        <f t="shared" si="3"/>
        <v>176626</v>
      </c>
      <c r="L23" s="105">
        <f t="shared" si="3"/>
        <v>161276</v>
      </c>
      <c r="M23" s="105">
        <f t="shared" si="3"/>
        <v>74414</v>
      </c>
      <c r="N23" s="105">
        <f t="shared" si="3"/>
        <v>59551</v>
      </c>
    </row>
    <row r="24" spans="1:14">
      <c r="A24" s="4" t="s">
        <v>108</v>
      </c>
      <c r="B24" s="105"/>
      <c r="C24" s="105">
        <f>SUM('Income Statement'!B74)-17690</f>
        <v>168539</v>
      </c>
      <c r="D24" s="105">
        <f>SUM('Income Statement'!C74)-15000</f>
        <v>455416</v>
      </c>
      <c r="E24" s="105">
        <f>SUM('Income Statement'!D74)-15000</f>
        <v>102496</v>
      </c>
      <c r="F24" s="105">
        <f>SUM('Income Statement'!E74)-15000</f>
        <v>55944</v>
      </c>
      <c r="G24" s="105">
        <f>SUM('Income Statement'!F74)-15000</f>
        <v>72707</v>
      </c>
      <c r="H24" s="105">
        <f>SUM('Income Statement'!G74)-15000</f>
        <v>67926</v>
      </c>
      <c r="I24" s="105">
        <f>SUM('Income Statement'!H74)-15000</f>
        <v>89497</v>
      </c>
      <c r="J24" s="105">
        <f>SUM('Income Statement'!I74)-15000</f>
        <v>165834</v>
      </c>
      <c r="K24" s="105">
        <f>SUM('Income Statement'!J74)-15000</f>
        <v>150484</v>
      </c>
      <c r="L24" s="105">
        <f>SUM('Income Statement'!K74)-15000</f>
        <v>63622</v>
      </c>
      <c r="M24" s="105">
        <f>SUM('Income Statement'!L74)-15000</f>
        <v>48759</v>
      </c>
      <c r="N24" s="105">
        <f>SUM('Income Statement'!M74)-15000</f>
        <v>248336</v>
      </c>
    </row>
    <row r="25" spans="1:14">
      <c r="A25" s="4" t="s">
        <v>109</v>
      </c>
      <c r="B25" s="105"/>
      <c r="C25" s="105">
        <v>-15000</v>
      </c>
      <c r="D25" s="105">
        <f>-(SUM('Income Statement'!B74)-15000)</f>
        <v>-171229</v>
      </c>
      <c r="E25" s="105">
        <f>-(SUM('Income Statement'!C74)-15000)</f>
        <v>-455416</v>
      </c>
      <c r="F25" s="105">
        <f>-(SUM('Income Statement'!D74)-15000)</f>
        <v>-102496</v>
      </c>
      <c r="G25" s="105">
        <f>-(SUM('Income Statement'!E74)-15000)</f>
        <v>-55944</v>
      </c>
      <c r="H25" s="105">
        <f>-(SUM('Income Statement'!F74)-15000)</f>
        <v>-72707</v>
      </c>
      <c r="I25" s="105">
        <f>-(SUM('Income Statement'!G74)-15000)</f>
        <v>-67926</v>
      </c>
      <c r="J25" s="105">
        <f>-(SUM('Income Statement'!H74)-15000)</f>
        <v>-89497</v>
      </c>
      <c r="K25" s="105">
        <f>-(SUM('Income Statement'!I74)-15000)</f>
        <v>-165834</v>
      </c>
      <c r="L25" s="105">
        <f>-(SUM('Income Statement'!J74)-15000)</f>
        <v>-150484</v>
      </c>
      <c r="M25" s="105">
        <f>-(SUM('Income Statement'!K74)-15000)</f>
        <v>-63622</v>
      </c>
      <c r="N25" s="105">
        <f>-(SUM('Income Statement'!L74)-15000)</f>
        <v>-48759</v>
      </c>
    </row>
    <row r="26" spans="1:14" s="119" customFormat="1" ht="14.4">
      <c r="A26" s="121" t="s">
        <v>110</v>
      </c>
      <c r="B26" s="123">
        <v>28482</v>
      </c>
      <c r="C26" s="123">
        <f>SUM(C23:C25)</f>
        <v>182021</v>
      </c>
      <c r="D26" s="123">
        <f t="shared" ref="D26:N26" si="4">SUM(D23:D25)</f>
        <v>466208</v>
      </c>
      <c r="E26" s="123">
        <f t="shared" si="4"/>
        <v>113288</v>
      </c>
      <c r="F26" s="123">
        <f t="shared" si="4"/>
        <v>66736</v>
      </c>
      <c r="G26" s="123">
        <f t="shared" si="4"/>
        <v>83499</v>
      </c>
      <c r="H26" s="123">
        <f t="shared" si="4"/>
        <v>78718</v>
      </c>
      <c r="I26" s="123">
        <f t="shared" si="4"/>
        <v>100289</v>
      </c>
      <c r="J26" s="123">
        <f t="shared" si="4"/>
        <v>176626</v>
      </c>
      <c r="K26" s="123">
        <f t="shared" si="4"/>
        <v>161276</v>
      </c>
      <c r="L26" s="123">
        <f t="shared" si="4"/>
        <v>74414</v>
      </c>
      <c r="M26" s="123">
        <f t="shared" si="4"/>
        <v>59551</v>
      </c>
      <c r="N26" s="123">
        <f t="shared" si="4"/>
        <v>259128</v>
      </c>
    </row>
    <row r="27" spans="1:14">
      <c r="A27" s="124"/>
      <c r="B27" s="125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BCA7A-1E5C-45E3-9B99-4864FBA314E9}">
  <dimension ref="A1:T19"/>
  <sheetViews>
    <sheetView zoomScale="52" zoomScaleNormal="80" workbookViewId="0">
      <selection activeCell="M24" sqref="M24"/>
    </sheetView>
  </sheetViews>
  <sheetFormatPr defaultColWidth="12.44140625" defaultRowHeight="25.8"/>
  <cols>
    <col min="1" max="1" width="5.77734375" style="245" customWidth="1"/>
    <col min="2" max="2" width="8.5546875" style="248" customWidth="1"/>
    <col min="3" max="3" width="46.33203125" style="249" customWidth="1"/>
    <col min="4" max="16" width="23.5546875" style="249" customWidth="1"/>
    <col min="17" max="17" width="26.33203125" style="250" customWidth="1"/>
    <col min="18" max="18" width="107.44140625" style="245" customWidth="1"/>
    <col min="19" max="16384" width="12.44140625" style="245"/>
  </cols>
  <sheetData>
    <row r="1" spans="1:20" s="223" customFormat="1" ht="33.6">
      <c r="A1" s="218" t="s">
        <v>238</v>
      </c>
      <c r="B1" s="219"/>
      <c r="C1" s="220"/>
      <c r="D1" s="220" t="s">
        <v>163</v>
      </c>
      <c r="E1" s="220" t="s">
        <v>120</v>
      </c>
      <c r="F1" s="220" t="s">
        <v>164</v>
      </c>
      <c r="G1" s="220" t="s">
        <v>165</v>
      </c>
      <c r="H1" s="220" t="s">
        <v>55</v>
      </c>
      <c r="I1" s="220" t="s">
        <v>166</v>
      </c>
      <c r="J1" s="220" t="s">
        <v>167</v>
      </c>
      <c r="K1" s="220" t="s">
        <v>168</v>
      </c>
      <c r="L1" s="220" t="s">
        <v>169</v>
      </c>
      <c r="M1" s="220" t="s">
        <v>126</v>
      </c>
      <c r="N1" s="220" t="s">
        <v>122</v>
      </c>
      <c r="O1" s="220" t="s">
        <v>123</v>
      </c>
      <c r="P1" s="220" t="s">
        <v>62</v>
      </c>
      <c r="Q1" s="221"/>
      <c r="R1" s="222"/>
    </row>
    <row r="2" spans="1:20" s="224" customFormat="1" ht="31.2">
      <c r="B2" s="225" t="s">
        <v>174</v>
      </c>
      <c r="C2" s="226"/>
      <c r="D2" s="227">
        <f t="shared" ref="D2:P2" si="0">SUM(D3:D7)</f>
        <v>2000</v>
      </c>
      <c r="E2" s="227">
        <f t="shared" si="0"/>
        <v>36000</v>
      </c>
      <c r="F2" s="227">
        <f t="shared" si="0"/>
        <v>50675</v>
      </c>
      <c r="G2" s="227">
        <f t="shared" si="0"/>
        <v>24000</v>
      </c>
      <c r="H2" s="227">
        <f t="shared" si="0"/>
        <v>13500</v>
      </c>
      <c r="I2" s="227">
        <f t="shared" si="0"/>
        <v>6500</v>
      </c>
      <c r="J2" s="227">
        <f t="shared" si="0"/>
        <v>13000</v>
      </c>
      <c r="K2" s="227">
        <f t="shared" si="0"/>
        <v>50820</v>
      </c>
      <c r="L2" s="227">
        <f t="shared" si="0"/>
        <v>33000</v>
      </c>
      <c r="M2" s="227">
        <f t="shared" si="0"/>
        <v>0</v>
      </c>
      <c r="N2" s="227">
        <f t="shared" si="0"/>
        <v>0</v>
      </c>
      <c r="O2" s="227">
        <f t="shared" si="0"/>
        <v>0</v>
      </c>
      <c r="P2" s="228">
        <f t="shared" si="0"/>
        <v>229495</v>
      </c>
      <c r="Q2" s="229"/>
      <c r="R2" s="230"/>
    </row>
    <row r="3" spans="1:20" s="231" customFormat="1" ht="23.4">
      <c r="B3" s="232"/>
      <c r="C3" s="233" t="s">
        <v>239</v>
      </c>
      <c r="D3" s="234">
        <v>1000</v>
      </c>
      <c r="E3" s="234">
        <v>25000</v>
      </c>
      <c r="F3" s="234">
        <v>20000</v>
      </c>
      <c r="G3" s="234">
        <v>3000</v>
      </c>
      <c r="H3" s="234">
        <v>3000</v>
      </c>
      <c r="I3" s="234">
        <v>3000</v>
      </c>
      <c r="J3" s="234">
        <v>2500</v>
      </c>
      <c r="K3" s="234">
        <v>2000</v>
      </c>
      <c r="L3" s="234">
        <v>1000</v>
      </c>
      <c r="M3" s="234"/>
      <c r="N3" s="234"/>
      <c r="O3" s="234"/>
      <c r="P3" s="235">
        <f>SUM(D3:O3)</f>
        <v>60500</v>
      </c>
      <c r="Q3" s="236"/>
      <c r="R3" s="222" t="s">
        <v>240</v>
      </c>
    </row>
    <row r="4" spans="1:20" s="231" customFormat="1" ht="23.4">
      <c r="B4" s="232"/>
      <c r="C4" s="233" t="s">
        <v>241</v>
      </c>
      <c r="D4" s="234">
        <v>1000</v>
      </c>
      <c r="E4" s="234">
        <v>11000</v>
      </c>
      <c r="F4" s="234">
        <v>30000</v>
      </c>
      <c r="G4" s="234">
        <v>20000</v>
      </c>
      <c r="H4" s="234">
        <v>9000</v>
      </c>
      <c r="I4" s="234">
        <v>2000</v>
      </c>
      <c r="J4" s="234">
        <v>1000</v>
      </c>
      <c r="K4" s="234"/>
      <c r="L4" s="234"/>
      <c r="M4" s="234"/>
      <c r="N4" s="234"/>
      <c r="O4" s="234"/>
      <c r="P4" s="234">
        <f t="shared" ref="P4:P7" si="1">SUM(D4:O4)</f>
        <v>74000</v>
      </c>
      <c r="Q4" s="236"/>
      <c r="R4" s="222" t="s">
        <v>242</v>
      </c>
    </row>
    <row r="5" spans="1:20" s="231" customFormat="1" ht="23.4">
      <c r="B5" s="232"/>
      <c r="C5" s="233" t="s">
        <v>243</v>
      </c>
      <c r="D5" s="234"/>
      <c r="E5" s="234"/>
      <c r="F5" s="234"/>
      <c r="G5" s="234">
        <v>1000</v>
      </c>
      <c r="H5" s="234">
        <v>1500</v>
      </c>
      <c r="I5" s="234">
        <v>1500</v>
      </c>
      <c r="J5" s="234">
        <v>2500</v>
      </c>
      <c r="K5" s="234">
        <v>45000</v>
      </c>
      <c r="L5" s="234"/>
      <c r="M5" s="234"/>
      <c r="N5" s="234"/>
      <c r="O5" s="234"/>
      <c r="P5" s="234">
        <f t="shared" si="1"/>
        <v>51500</v>
      </c>
      <c r="Q5" s="236"/>
      <c r="R5" s="222"/>
    </row>
    <row r="6" spans="1:20" s="231" customFormat="1" ht="23.4">
      <c r="B6" s="232"/>
      <c r="C6" s="233" t="s">
        <v>244</v>
      </c>
      <c r="D6" s="234"/>
      <c r="E6" s="234"/>
      <c r="F6" s="234">
        <f>3*225</f>
        <v>675</v>
      </c>
      <c r="G6" s="234"/>
      <c r="H6" s="234"/>
      <c r="I6" s="234" t="s">
        <v>262</v>
      </c>
      <c r="J6" s="234"/>
      <c r="K6" s="234">
        <v>3820</v>
      </c>
      <c r="L6" s="234"/>
      <c r="M6" s="234"/>
      <c r="N6" s="234"/>
      <c r="O6" s="234"/>
      <c r="P6" s="234">
        <f t="shared" si="1"/>
        <v>4495</v>
      </c>
      <c r="Q6" s="236"/>
      <c r="R6" s="222" t="s">
        <v>245</v>
      </c>
    </row>
    <row r="7" spans="1:20" s="231" customFormat="1" ht="23.4">
      <c r="B7" s="232"/>
      <c r="C7" s="233" t="s">
        <v>246</v>
      </c>
      <c r="D7" s="234"/>
      <c r="E7" s="234"/>
      <c r="G7" s="234"/>
      <c r="H7" s="234"/>
      <c r="I7" s="234"/>
      <c r="J7" s="234">
        <v>7000</v>
      </c>
      <c r="K7" s="234"/>
      <c r="L7" s="234">
        <v>32000</v>
      </c>
      <c r="M7" s="234"/>
      <c r="N7" s="234"/>
      <c r="O7" s="234"/>
      <c r="P7" s="234">
        <f t="shared" si="1"/>
        <v>39000</v>
      </c>
      <c r="Q7" s="236"/>
      <c r="R7" s="222"/>
    </row>
    <row r="8" spans="1:20" s="224" customFormat="1" ht="31.2">
      <c r="B8" s="225" t="s">
        <v>206</v>
      </c>
      <c r="C8" s="226"/>
      <c r="D8" s="237">
        <f>SUM(D9:D15)</f>
        <v>2400</v>
      </c>
      <c r="E8" s="237">
        <f t="shared" ref="E8:O8" si="2">SUM(E9:E15)</f>
        <v>9700</v>
      </c>
      <c r="F8" s="237">
        <f t="shared" si="2"/>
        <v>6200</v>
      </c>
      <c r="G8" s="237">
        <f t="shared" si="2"/>
        <v>5800</v>
      </c>
      <c r="H8" s="237">
        <f t="shared" si="2"/>
        <v>5300</v>
      </c>
      <c r="I8" s="237">
        <f t="shared" si="2"/>
        <v>20100</v>
      </c>
      <c r="J8" s="237">
        <f t="shared" si="2"/>
        <v>13200</v>
      </c>
      <c r="K8" s="237">
        <f t="shared" si="2"/>
        <v>51100</v>
      </c>
      <c r="L8" s="237">
        <f t="shared" si="2"/>
        <v>9500</v>
      </c>
      <c r="M8" s="237">
        <f t="shared" si="2"/>
        <v>200</v>
      </c>
      <c r="N8" s="237">
        <f t="shared" si="2"/>
        <v>200</v>
      </c>
      <c r="O8" s="237">
        <f t="shared" si="2"/>
        <v>200</v>
      </c>
      <c r="P8" s="228">
        <f>SUM(P9:P15)</f>
        <v>123900</v>
      </c>
      <c r="Q8" s="229"/>
      <c r="R8" s="230"/>
    </row>
    <row r="9" spans="1:20" s="231" customFormat="1" ht="23.4">
      <c r="A9" s="238"/>
      <c r="B9" s="232"/>
      <c r="C9" s="233" t="s">
        <v>247</v>
      </c>
      <c r="D9" s="234">
        <v>200</v>
      </c>
      <c r="E9" s="234">
        <v>200</v>
      </c>
      <c r="F9" s="234">
        <v>200</v>
      </c>
      <c r="G9" s="234">
        <v>200</v>
      </c>
      <c r="H9" s="234">
        <v>200</v>
      </c>
      <c r="I9" s="234">
        <v>200</v>
      </c>
      <c r="J9" s="234">
        <v>200</v>
      </c>
      <c r="K9" s="234">
        <v>200</v>
      </c>
      <c r="L9" s="234">
        <v>200</v>
      </c>
      <c r="M9" s="234">
        <v>200</v>
      </c>
      <c r="N9" s="234">
        <v>200</v>
      </c>
      <c r="O9" s="234">
        <v>200</v>
      </c>
      <c r="P9" s="234">
        <f>SUM(D9:O9)</f>
        <v>2400</v>
      </c>
      <c r="Q9" s="236"/>
      <c r="R9" s="222" t="s">
        <v>248</v>
      </c>
    </row>
    <row r="10" spans="1:20" s="231" customFormat="1" ht="23.4">
      <c r="A10" s="238"/>
      <c r="B10" s="232"/>
      <c r="C10" s="233" t="s">
        <v>249</v>
      </c>
      <c r="D10" s="234"/>
      <c r="E10" s="234">
        <v>2500</v>
      </c>
      <c r="F10" s="234"/>
      <c r="G10" s="234">
        <v>3000</v>
      </c>
      <c r="H10" s="234"/>
      <c r="I10" s="234">
        <v>6000</v>
      </c>
      <c r="J10" s="234">
        <v>4500</v>
      </c>
      <c r="K10" s="234">
        <v>9500</v>
      </c>
      <c r="L10" s="234">
        <v>5000</v>
      </c>
      <c r="M10" s="234"/>
      <c r="N10" s="234"/>
      <c r="O10" s="234"/>
      <c r="P10" s="234">
        <f t="shared" ref="P10:P15" si="3">SUM(D10:O10)</f>
        <v>30500</v>
      </c>
      <c r="Q10" s="236"/>
      <c r="R10" s="222" t="s">
        <v>250</v>
      </c>
    </row>
    <row r="11" spans="1:20" s="231" customFormat="1" ht="23.4">
      <c r="A11" s="238"/>
      <c r="B11" s="232"/>
      <c r="C11" s="233" t="s">
        <v>251</v>
      </c>
      <c r="D11" s="234">
        <v>2000</v>
      </c>
      <c r="E11" s="234">
        <v>2000</v>
      </c>
      <c r="F11" s="234">
        <v>2000</v>
      </c>
      <c r="G11" s="234">
        <v>2000</v>
      </c>
      <c r="H11" s="234">
        <v>2000</v>
      </c>
      <c r="I11" s="234">
        <v>10800</v>
      </c>
      <c r="J11" s="234">
        <v>2000</v>
      </c>
      <c r="K11" s="234">
        <v>35000</v>
      </c>
      <c r="L11" s="234">
        <v>4300</v>
      </c>
      <c r="M11" s="234"/>
      <c r="N11" s="234"/>
      <c r="O11" s="234"/>
      <c r="P11" s="235">
        <f t="shared" si="3"/>
        <v>62100</v>
      </c>
      <c r="Q11" s="236"/>
      <c r="R11" s="222" t="s">
        <v>252</v>
      </c>
    </row>
    <row r="12" spans="1:20" s="231" customFormat="1" ht="23.4">
      <c r="B12" s="232"/>
      <c r="C12" s="233" t="s">
        <v>253</v>
      </c>
      <c r="D12" s="234"/>
      <c r="E12" s="234"/>
      <c r="F12" s="234"/>
      <c r="G12" s="234"/>
      <c r="H12" s="234"/>
      <c r="I12" s="234"/>
      <c r="J12" s="234">
        <v>2000</v>
      </c>
      <c r="K12" s="234">
        <v>4000</v>
      </c>
      <c r="L12" s="234"/>
      <c r="M12" s="234"/>
      <c r="N12" s="234"/>
      <c r="O12" s="234"/>
      <c r="P12" s="234">
        <f t="shared" si="3"/>
        <v>6000</v>
      </c>
      <c r="Q12" s="236"/>
      <c r="R12" s="222" t="s">
        <v>254</v>
      </c>
    </row>
    <row r="13" spans="1:20" s="231" customFormat="1" ht="23.4">
      <c r="B13" s="232"/>
      <c r="C13" s="233" t="s">
        <v>255</v>
      </c>
      <c r="D13" s="234"/>
      <c r="E13" s="234"/>
      <c r="F13" s="234"/>
      <c r="G13" s="234"/>
      <c r="H13" s="234"/>
      <c r="I13" s="234"/>
      <c r="J13" s="234">
        <v>4000</v>
      </c>
      <c r="K13" s="234">
        <v>2000</v>
      </c>
      <c r="L13" s="234"/>
      <c r="M13" s="234"/>
      <c r="N13" s="234"/>
      <c r="O13" s="234"/>
      <c r="P13" s="234">
        <f t="shared" si="3"/>
        <v>6000</v>
      </c>
      <c r="Q13" s="236"/>
      <c r="R13" s="222" t="s">
        <v>256</v>
      </c>
    </row>
    <row r="14" spans="1:20" s="231" customFormat="1" ht="23.4">
      <c r="B14" s="232"/>
      <c r="C14" s="233" t="s">
        <v>257</v>
      </c>
      <c r="D14" s="234">
        <v>200</v>
      </c>
      <c r="E14" s="234">
        <v>5000</v>
      </c>
      <c r="F14" s="234">
        <v>4000</v>
      </c>
      <c r="G14" s="234">
        <v>600</v>
      </c>
      <c r="H14" s="234">
        <v>600</v>
      </c>
      <c r="I14" s="234">
        <v>600</v>
      </c>
      <c r="J14" s="234">
        <v>500</v>
      </c>
      <c r="K14" s="234">
        <v>400</v>
      </c>
      <c r="L14" s="234"/>
      <c r="M14" s="234"/>
      <c r="N14" s="234"/>
      <c r="O14" s="234"/>
      <c r="P14" s="234">
        <f t="shared" si="3"/>
        <v>11900</v>
      </c>
      <c r="Q14" s="236"/>
      <c r="R14" s="222" t="s">
        <v>258</v>
      </c>
      <c r="T14" s="239"/>
    </row>
    <row r="15" spans="1:20" s="231" customFormat="1" ht="23.4">
      <c r="B15" s="232"/>
      <c r="C15" s="233" t="s">
        <v>259</v>
      </c>
      <c r="D15" s="234"/>
      <c r="E15" s="234"/>
      <c r="F15" s="234"/>
      <c r="G15" s="234"/>
      <c r="H15" s="234">
        <v>2500</v>
      </c>
      <c r="I15" s="234">
        <v>2500</v>
      </c>
      <c r="J15" s="234"/>
      <c r="K15" s="234"/>
      <c r="L15" s="234"/>
      <c r="M15" s="234"/>
      <c r="N15" s="234"/>
      <c r="O15" s="234"/>
      <c r="P15" s="234">
        <f t="shared" si="3"/>
        <v>5000</v>
      </c>
      <c r="Q15" s="236"/>
      <c r="R15" s="222"/>
    </row>
    <row r="16" spans="1:20" s="224" customFormat="1" ht="31.2">
      <c r="B16" s="225" t="s">
        <v>260</v>
      </c>
      <c r="C16" s="226"/>
      <c r="D16" s="237">
        <f t="shared" ref="D16:Q16" si="4">D2-D8</f>
        <v>-400</v>
      </c>
      <c r="E16" s="237">
        <f t="shared" si="4"/>
        <v>26300</v>
      </c>
      <c r="F16" s="237">
        <f t="shared" si="4"/>
        <v>44475</v>
      </c>
      <c r="G16" s="237">
        <f t="shared" si="4"/>
        <v>18200</v>
      </c>
      <c r="H16" s="237">
        <f t="shared" si="4"/>
        <v>8200</v>
      </c>
      <c r="I16" s="237">
        <f t="shared" si="4"/>
        <v>-13600</v>
      </c>
      <c r="J16" s="237">
        <f t="shared" si="4"/>
        <v>-200</v>
      </c>
      <c r="K16" s="237">
        <f t="shared" si="4"/>
        <v>-280</v>
      </c>
      <c r="L16" s="237">
        <f t="shared" si="4"/>
        <v>23500</v>
      </c>
      <c r="M16" s="237">
        <f t="shared" si="4"/>
        <v>-200</v>
      </c>
      <c r="N16" s="237">
        <f t="shared" si="4"/>
        <v>-200</v>
      </c>
      <c r="O16" s="237">
        <f t="shared" si="4"/>
        <v>-200</v>
      </c>
      <c r="P16" s="228">
        <f t="shared" si="4"/>
        <v>105595</v>
      </c>
      <c r="Q16" s="229">
        <f t="shared" si="4"/>
        <v>0</v>
      </c>
      <c r="R16" s="230"/>
    </row>
    <row r="17" spans="2:18">
      <c r="B17" s="240"/>
      <c r="C17" s="241"/>
      <c r="D17" s="242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42"/>
      <c r="P17" s="242"/>
      <c r="Q17" s="243"/>
      <c r="R17" s="244"/>
    </row>
    <row r="18" spans="2:18">
      <c r="B18" s="240"/>
      <c r="C18" s="241"/>
      <c r="D18" s="242"/>
      <c r="E18" s="242"/>
      <c r="F18" s="242"/>
      <c r="G18" s="242"/>
      <c r="H18" s="242"/>
      <c r="I18" s="242"/>
      <c r="J18" s="242"/>
      <c r="K18" s="242"/>
      <c r="L18" s="242"/>
      <c r="M18" s="242"/>
      <c r="N18" s="242"/>
      <c r="O18" s="242"/>
      <c r="P18" s="242"/>
      <c r="Q18" s="243"/>
      <c r="R18" s="244"/>
    </row>
    <row r="19" spans="2:18" s="223" customFormat="1" ht="31.2">
      <c r="B19" s="225" t="s">
        <v>261</v>
      </c>
      <c r="C19" s="246"/>
      <c r="D19" s="247">
        <v>98775.85</v>
      </c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28">
        <f>O19</f>
        <v>0</v>
      </c>
      <c r="Q19" s="229"/>
      <c r="R19" s="230"/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E8E5A-0628-4A0D-A7A0-C1C04DB8F9B7}">
  <sheetPr>
    <outlinePr summaryBelow="0"/>
  </sheetPr>
  <dimension ref="A1:BO56"/>
  <sheetViews>
    <sheetView zoomScale="84" zoomScaleNormal="100" workbookViewId="0">
      <pane xSplit="2" ySplit="2" topLeftCell="G3" activePane="bottomRight" state="frozen"/>
      <selection pane="topRight" activeCell="C1" sqref="C1"/>
      <selection pane="bottomLeft" activeCell="A3" sqref="A3"/>
      <selection pane="bottomRight" activeCell="R33" sqref="R33"/>
    </sheetView>
  </sheetViews>
  <sheetFormatPr defaultColWidth="8.77734375" defaultRowHeight="14.4" outlineLevelRow="1"/>
  <cols>
    <col min="1" max="1" width="2.6640625" style="210" customWidth="1"/>
    <col min="2" max="2" width="50.77734375" style="211" customWidth="1"/>
    <col min="3" max="3" width="11.33203125" style="211" hidden="1" customWidth="1"/>
    <col min="4" max="4" width="12.109375" style="211" hidden="1" customWidth="1"/>
    <col min="5" max="6" width="9.44140625" style="211" hidden="1" customWidth="1"/>
    <col min="7" max="7" width="13.109375" style="212" bestFit="1" customWidth="1"/>
    <col min="8" max="8" width="14.6640625" style="212" bestFit="1" customWidth="1"/>
    <col min="9" max="13" width="11.109375" style="212" bestFit="1" customWidth="1"/>
    <col min="14" max="14" width="12.6640625" style="212" customWidth="1"/>
    <col min="15" max="16" width="14.33203125" style="212" customWidth="1"/>
    <col min="17" max="17" width="11.109375" style="212" bestFit="1" customWidth="1"/>
    <col min="18" max="18" width="13.109375" style="212" bestFit="1" customWidth="1"/>
    <col min="19" max="19" width="14.6640625" style="212" bestFit="1" customWidth="1"/>
    <col min="20" max="20" width="6.6640625" style="213" customWidth="1"/>
    <col min="21" max="21" width="65" style="212" customWidth="1"/>
    <col min="22" max="22" width="73.33203125" style="212" customWidth="1"/>
    <col min="23" max="16384" width="8.77734375" style="212"/>
  </cols>
  <sheetData>
    <row r="1" spans="1:67" s="148" customFormat="1" ht="31.95" customHeight="1">
      <c r="A1" s="144" t="s">
        <v>158</v>
      </c>
      <c r="B1" s="145"/>
      <c r="C1" s="146" t="s">
        <v>159</v>
      </c>
      <c r="D1" s="146" t="s">
        <v>160</v>
      </c>
      <c r="E1" s="146" t="s">
        <v>161</v>
      </c>
      <c r="F1" s="146" t="s">
        <v>162</v>
      </c>
      <c r="G1" s="147" t="s">
        <v>163</v>
      </c>
      <c r="H1" s="147" t="s">
        <v>120</v>
      </c>
      <c r="I1" s="147" t="s">
        <v>164</v>
      </c>
      <c r="J1" s="147" t="s">
        <v>165</v>
      </c>
      <c r="K1" s="147" t="s">
        <v>55</v>
      </c>
      <c r="L1" s="147" t="s">
        <v>166</v>
      </c>
      <c r="M1" s="147" t="s">
        <v>167</v>
      </c>
      <c r="N1" s="147" t="s">
        <v>168</v>
      </c>
      <c r="O1" s="147" t="s">
        <v>169</v>
      </c>
      <c r="P1" s="147" t="s">
        <v>126</v>
      </c>
      <c r="Q1" s="147" t="s">
        <v>122</v>
      </c>
      <c r="R1" s="147" t="s">
        <v>123</v>
      </c>
      <c r="S1" s="147" t="s">
        <v>170</v>
      </c>
      <c r="T1" s="147" t="s">
        <v>171</v>
      </c>
      <c r="U1" s="147" t="s">
        <v>172</v>
      </c>
      <c r="V1" s="147" t="s">
        <v>173</v>
      </c>
    </row>
    <row r="2" spans="1:67" s="153" customFormat="1" ht="21.6" thickBot="1">
      <c r="A2" s="149" t="s">
        <v>174</v>
      </c>
      <c r="B2" s="150"/>
      <c r="C2" s="150"/>
      <c r="D2" s="150"/>
      <c r="E2" s="150"/>
      <c r="F2" s="150"/>
      <c r="G2" s="151">
        <f t="shared" ref="G2:S2" si="0">SUM(G19,G17,G8,G3)</f>
        <v>149189.33333333334</v>
      </c>
      <c r="H2" s="151">
        <f t="shared" si="0"/>
        <v>458283.33333333331</v>
      </c>
      <c r="I2" s="151">
        <f t="shared" si="0"/>
        <v>68783.333333333343</v>
      </c>
      <c r="J2" s="151">
        <f t="shared" si="0"/>
        <v>22783.333333333336</v>
      </c>
      <c r="K2" s="151">
        <f t="shared" si="0"/>
        <v>43783.333333333336</v>
      </c>
      <c r="L2" s="151">
        <f t="shared" si="0"/>
        <v>46233.333333333336</v>
      </c>
      <c r="M2" s="151">
        <f t="shared" si="0"/>
        <v>45783.333333333336</v>
      </c>
      <c r="N2" s="151">
        <f t="shared" si="0"/>
        <v>63583.333333333336</v>
      </c>
      <c r="O2" s="151">
        <f t="shared" si="0"/>
        <v>85160.333333333343</v>
      </c>
      <c r="P2" s="151">
        <f t="shared" si="0"/>
        <v>105083.33333333334</v>
      </c>
      <c r="Q2" s="151">
        <f t="shared" si="0"/>
        <v>35083.333333333336</v>
      </c>
      <c r="R2" s="151">
        <f t="shared" si="0"/>
        <v>258533.33333333334</v>
      </c>
      <c r="S2" s="151">
        <f t="shared" si="0"/>
        <v>1382283</v>
      </c>
      <c r="T2" s="152" t="s">
        <v>175</v>
      </c>
      <c r="U2" s="149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</row>
    <row r="3" spans="1:67" s="154" customFormat="1" ht="21" collapsed="1">
      <c r="B3" s="155" t="s">
        <v>141</v>
      </c>
      <c r="C3" s="156">
        <f>SUM(C4:C7)</f>
        <v>500419</v>
      </c>
      <c r="D3" s="156">
        <f t="shared" ref="D3:F3" si="1">SUM(D4:D7)</f>
        <v>137000</v>
      </c>
      <c r="E3" s="156">
        <f t="shared" si="1"/>
        <v>155219</v>
      </c>
      <c r="F3" s="156">
        <f t="shared" si="1"/>
        <v>155219</v>
      </c>
      <c r="G3" s="157">
        <f>SUM(G4:G7)</f>
        <v>0</v>
      </c>
      <c r="H3" s="157">
        <f t="shared" ref="H3:K3" si="2">SUM(H4:H7)</f>
        <v>0</v>
      </c>
      <c r="I3" s="157">
        <f t="shared" si="2"/>
        <v>21000</v>
      </c>
      <c r="J3" s="157">
        <f>SUM(J4:J7)</f>
        <v>0</v>
      </c>
      <c r="K3" s="157">
        <f t="shared" si="2"/>
        <v>0</v>
      </c>
      <c r="L3" s="157">
        <f>SUM(L4:L7)</f>
        <v>21450</v>
      </c>
      <c r="M3" s="157">
        <f>SUM(M4:M7)</f>
        <v>0</v>
      </c>
      <c r="N3" s="157">
        <f t="shared" ref="N3" si="3">SUM(N4:N7)</f>
        <v>4000</v>
      </c>
      <c r="O3" s="157">
        <f>SUM(O4:O7)</f>
        <v>45450</v>
      </c>
      <c r="P3" s="157">
        <f>SUM(P4:P7)</f>
        <v>72000</v>
      </c>
      <c r="Q3" s="157">
        <f t="shared" ref="Q3" si="4">SUM(Q4:Q7)</f>
        <v>12000</v>
      </c>
      <c r="R3" s="157">
        <f>SUM(R4:R7)</f>
        <v>38450</v>
      </c>
      <c r="S3" s="158">
        <f>SUM(G3:R3)</f>
        <v>214350</v>
      </c>
      <c r="T3" s="159" t="s">
        <v>175</v>
      </c>
      <c r="U3" s="160"/>
      <c r="V3" s="160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</row>
    <row r="4" spans="1:67" s="168" customFormat="1" ht="21" hidden="1" outlineLevel="1">
      <c r="A4" s="161"/>
      <c r="B4" s="162" t="s">
        <v>176</v>
      </c>
      <c r="C4" s="163">
        <v>50000</v>
      </c>
      <c r="D4" s="163">
        <v>37000</v>
      </c>
      <c r="E4" s="163"/>
      <c r="F4" s="163"/>
      <c r="G4" s="164"/>
      <c r="H4" s="164"/>
      <c r="I4" s="164">
        <v>8000</v>
      </c>
      <c r="J4" s="164"/>
      <c r="K4" s="164"/>
      <c r="L4" s="164"/>
      <c r="M4" s="165"/>
      <c r="N4" s="165"/>
      <c r="O4" s="165"/>
      <c r="P4" s="165"/>
      <c r="Q4" s="165">
        <v>12000</v>
      </c>
      <c r="R4" s="165">
        <v>17000</v>
      </c>
      <c r="S4" s="164">
        <f>SUM(G4:R4)</f>
        <v>37000</v>
      </c>
      <c r="T4" s="166" t="s">
        <v>177</v>
      </c>
      <c r="U4" s="167" t="s">
        <v>178</v>
      </c>
      <c r="V4" s="162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</row>
    <row r="5" spans="1:67" s="168" customFormat="1" ht="21" hidden="1" outlineLevel="1">
      <c r="A5" s="161"/>
      <c r="B5" s="169" t="s">
        <v>179</v>
      </c>
      <c r="C5" s="163">
        <v>50000</v>
      </c>
      <c r="D5" s="163">
        <v>0</v>
      </c>
      <c r="E5" s="163">
        <v>53000</v>
      </c>
      <c r="F5" s="163">
        <v>53000</v>
      </c>
      <c r="G5" s="164"/>
      <c r="H5" s="164"/>
      <c r="I5" s="164"/>
      <c r="J5" s="164"/>
      <c r="K5" s="164"/>
      <c r="L5" s="164"/>
      <c r="M5" s="165"/>
      <c r="N5" s="165"/>
      <c r="O5" s="165"/>
      <c r="P5" s="170"/>
      <c r="Q5" s="165"/>
      <c r="R5" s="165"/>
      <c r="S5" s="171"/>
      <c r="T5" s="172" t="s">
        <v>180</v>
      </c>
      <c r="U5" s="162"/>
      <c r="V5" s="162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</row>
    <row r="6" spans="1:67" s="174" customFormat="1" ht="21" hidden="1" outlineLevel="1">
      <c r="A6" s="173"/>
      <c r="B6" s="162" t="s">
        <v>181</v>
      </c>
      <c r="C6" s="163">
        <v>100000</v>
      </c>
      <c r="D6" s="163">
        <v>100000</v>
      </c>
      <c r="E6" s="163">
        <v>102219</v>
      </c>
      <c r="F6" s="163">
        <v>102219</v>
      </c>
      <c r="G6" s="167"/>
      <c r="H6" s="167"/>
      <c r="I6" s="167"/>
      <c r="J6" s="167"/>
      <c r="K6" s="167"/>
      <c r="L6" s="167"/>
      <c r="N6" s="167">
        <v>4000</v>
      </c>
      <c r="O6" s="167">
        <v>24000</v>
      </c>
      <c r="P6" s="167">
        <v>72000</v>
      </c>
      <c r="Q6" s="167"/>
      <c r="R6" s="167"/>
      <c r="S6" s="175">
        <f>SUM(G6:R6)</f>
        <v>100000</v>
      </c>
      <c r="T6" s="172" t="s">
        <v>180</v>
      </c>
      <c r="U6" s="176"/>
      <c r="V6" s="176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</row>
    <row r="7" spans="1:67" s="174" customFormat="1" ht="21" hidden="1" outlineLevel="1">
      <c r="A7" s="173"/>
      <c r="B7" s="162" t="s">
        <v>136</v>
      </c>
      <c r="C7" s="163">
        <v>300419</v>
      </c>
      <c r="D7" s="177"/>
      <c r="E7" s="163"/>
      <c r="F7" s="163"/>
      <c r="G7" s="178"/>
      <c r="H7" s="178"/>
      <c r="I7" s="174">
        <v>13000</v>
      </c>
      <c r="J7" s="178"/>
      <c r="K7" s="178"/>
      <c r="L7" s="174">
        <v>21450</v>
      </c>
      <c r="M7" s="178"/>
      <c r="N7" s="178"/>
      <c r="O7" s="174">
        <v>21450</v>
      </c>
      <c r="P7" s="178"/>
      <c r="Q7" s="178"/>
      <c r="R7" s="178">
        <v>21450</v>
      </c>
      <c r="S7" s="175">
        <f>SUM(G7:R7)</f>
        <v>77350</v>
      </c>
      <c r="T7" s="172" t="s">
        <v>180</v>
      </c>
      <c r="U7" s="179" t="s">
        <v>263</v>
      </c>
      <c r="V7" s="179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</row>
    <row r="8" spans="1:67" s="154" customFormat="1" ht="21" collapsed="1">
      <c r="B8" s="155" t="s">
        <v>142</v>
      </c>
      <c r="C8" s="156">
        <f>SUM(C9:C16)</f>
        <v>1525533</v>
      </c>
      <c r="D8" s="156">
        <f t="shared" ref="D8:F8" si="5">SUM(D9:D16)</f>
        <v>1261536</v>
      </c>
      <c r="E8" s="156">
        <f t="shared" si="5"/>
        <v>219000</v>
      </c>
      <c r="F8" s="156">
        <f t="shared" si="5"/>
        <v>219000</v>
      </c>
      <c r="G8" s="157">
        <f>SUM(G9:G16)</f>
        <v>136356</v>
      </c>
      <c r="H8" s="157">
        <f t="shared" ref="H8:M8" si="6">SUM(H9:H16)</f>
        <v>425450</v>
      </c>
      <c r="I8" s="157">
        <f t="shared" si="6"/>
        <v>34950</v>
      </c>
      <c r="J8" s="157">
        <f t="shared" si="6"/>
        <v>9950</v>
      </c>
      <c r="K8" s="157">
        <f t="shared" si="6"/>
        <v>30950</v>
      </c>
      <c r="L8" s="157">
        <f t="shared" si="6"/>
        <v>10450</v>
      </c>
      <c r="M8" s="157">
        <f t="shared" si="6"/>
        <v>31450</v>
      </c>
      <c r="N8" s="157">
        <f>SUM(N9:N16)</f>
        <v>45250</v>
      </c>
      <c r="O8" s="157">
        <f t="shared" ref="O8:P8" si="7">SUM(O9:O16)</f>
        <v>25377</v>
      </c>
      <c r="P8" s="157">
        <f t="shared" si="7"/>
        <v>18750</v>
      </c>
      <c r="Q8" s="157">
        <f>SUM(Q9:Q16)</f>
        <v>8750</v>
      </c>
      <c r="R8" s="157">
        <f t="shared" ref="R8" si="8">SUM(R9:R16)</f>
        <v>205750</v>
      </c>
      <c r="S8" s="157">
        <f>SUM(G8:R8)</f>
        <v>983433</v>
      </c>
      <c r="T8" s="180" t="s">
        <v>175</v>
      </c>
      <c r="U8" s="160"/>
      <c r="V8" s="160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</row>
    <row r="9" spans="1:67" s="174" customFormat="1" ht="21" hidden="1" outlineLevel="1">
      <c r="A9" s="173"/>
      <c r="B9" s="162" t="s">
        <v>182</v>
      </c>
      <c r="C9" s="163">
        <v>57000</v>
      </c>
      <c r="D9" s="163">
        <v>57000</v>
      </c>
      <c r="E9" s="163">
        <v>19000</v>
      </c>
      <c r="F9" s="163">
        <v>19000</v>
      </c>
      <c r="G9" s="181">
        <v>4750</v>
      </c>
      <c r="H9" s="181">
        <v>4750</v>
      </c>
      <c r="I9" s="181">
        <v>4750</v>
      </c>
      <c r="J9" s="181">
        <v>4750</v>
      </c>
      <c r="K9" s="181">
        <v>4750</v>
      </c>
      <c r="L9" s="181">
        <v>4750</v>
      </c>
      <c r="M9" s="181">
        <v>4750</v>
      </c>
      <c r="N9" s="181">
        <v>4750</v>
      </c>
      <c r="O9" s="181">
        <v>4750</v>
      </c>
      <c r="P9" s="181">
        <v>4750</v>
      </c>
      <c r="Q9" s="181">
        <v>4750</v>
      </c>
      <c r="R9" s="181">
        <v>4750</v>
      </c>
      <c r="S9" s="182">
        <f t="shared" ref="S9" si="9">SUM(G9:R9)</f>
        <v>57000</v>
      </c>
      <c r="T9" s="183" t="s">
        <v>180</v>
      </c>
      <c r="U9" s="184" t="s">
        <v>183</v>
      </c>
      <c r="V9" s="184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</row>
    <row r="10" spans="1:67" s="174" customFormat="1" ht="21" hidden="1" outlineLevel="1">
      <c r="A10" s="173"/>
      <c r="B10" s="162" t="s">
        <v>145</v>
      </c>
      <c r="C10" s="163">
        <v>994533</v>
      </c>
      <c r="D10" s="163">
        <v>761736</v>
      </c>
      <c r="E10" s="163">
        <v>0</v>
      </c>
      <c r="F10" s="163">
        <v>0</v>
      </c>
      <c r="G10" s="167">
        <v>105000</v>
      </c>
      <c r="H10" s="167">
        <v>400000</v>
      </c>
      <c r="I10" s="167">
        <v>2500</v>
      </c>
      <c r="J10" s="167">
        <v>2500</v>
      </c>
      <c r="K10" s="167">
        <v>2500</v>
      </c>
      <c r="L10" s="167">
        <v>2500</v>
      </c>
      <c r="M10" s="167">
        <v>2500</v>
      </c>
      <c r="N10" s="167">
        <v>2500</v>
      </c>
      <c r="O10" s="167">
        <v>2500</v>
      </c>
      <c r="P10" s="167">
        <v>2500</v>
      </c>
      <c r="Q10" s="167">
        <v>2500</v>
      </c>
      <c r="R10" s="167">
        <v>1000</v>
      </c>
      <c r="S10" s="175">
        <f>SUM(G10:R10)</f>
        <v>528500</v>
      </c>
      <c r="T10" s="172" t="s">
        <v>180</v>
      </c>
      <c r="U10" s="176" t="s">
        <v>184</v>
      </c>
      <c r="V10" s="176" t="s">
        <v>185</v>
      </c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</row>
    <row r="11" spans="1:67" s="174" customFormat="1" ht="21" hidden="1" outlineLevel="1">
      <c r="A11" s="173"/>
      <c r="B11" s="162" t="s">
        <v>186</v>
      </c>
      <c r="C11" s="163">
        <v>200000</v>
      </c>
      <c r="D11" s="163">
        <v>200000</v>
      </c>
      <c r="E11" s="163">
        <v>200000</v>
      </c>
      <c r="F11" s="163">
        <v>200000</v>
      </c>
      <c r="G11" s="167"/>
      <c r="H11" s="167"/>
      <c r="I11" s="167"/>
      <c r="J11" s="167"/>
      <c r="K11" s="167"/>
      <c r="L11" s="167">
        <v>500</v>
      </c>
      <c r="M11" s="167">
        <v>500</v>
      </c>
      <c r="N11" s="167">
        <v>500</v>
      </c>
      <c r="O11" s="167">
        <v>500</v>
      </c>
      <c r="P11" s="167">
        <v>500</v>
      </c>
      <c r="Q11" s="167">
        <v>500</v>
      </c>
      <c r="R11" s="167">
        <v>200000</v>
      </c>
      <c r="S11" s="167">
        <f>SUM(G11:R11)</f>
        <v>203000</v>
      </c>
      <c r="T11" s="166" t="s">
        <v>177</v>
      </c>
      <c r="U11" s="176" t="s">
        <v>187</v>
      </c>
      <c r="V11" s="176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</row>
    <row r="12" spans="1:67" s="174" customFormat="1" ht="21" hidden="1" outlineLevel="1">
      <c r="A12" s="173"/>
      <c r="B12" s="162" t="s">
        <v>152</v>
      </c>
      <c r="C12" s="163">
        <v>168000</v>
      </c>
      <c r="D12" s="163">
        <v>168000</v>
      </c>
      <c r="E12" s="163">
        <v>0</v>
      </c>
      <c r="F12" s="163">
        <v>0</v>
      </c>
      <c r="G12" s="167">
        <v>700</v>
      </c>
      <c r="H12" s="167">
        <v>700</v>
      </c>
      <c r="I12" s="167">
        <v>700</v>
      </c>
      <c r="J12" s="167">
        <v>700</v>
      </c>
      <c r="K12" s="167">
        <v>700</v>
      </c>
      <c r="L12" s="167">
        <v>700</v>
      </c>
      <c r="M12" s="167">
        <v>700</v>
      </c>
      <c r="N12" s="167">
        <v>700</v>
      </c>
      <c r="O12" s="167">
        <v>700</v>
      </c>
      <c r="P12" s="167"/>
      <c r="Q12" s="167"/>
      <c r="R12" s="167"/>
      <c r="S12" s="175">
        <f>SUM(G12:R12)</f>
        <v>6300</v>
      </c>
      <c r="T12" s="172" t="s">
        <v>180</v>
      </c>
      <c r="U12" s="176" t="s">
        <v>188</v>
      </c>
      <c r="V12" s="176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</row>
    <row r="13" spans="1:67" s="174" customFormat="1" ht="21" hidden="1" outlineLevel="1">
      <c r="A13" s="173"/>
      <c r="B13" s="162" t="s">
        <v>189</v>
      </c>
      <c r="C13" s="185">
        <v>106000</v>
      </c>
      <c r="D13" s="163"/>
      <c r="E13" s="163"/>
      <c r="F13" s="163"/>
      <c r="G13" s="186">
        <v>21073</v>
      </c>
      <c r="H13" s="186"/>
      <c r="I13" s="186">
        <v>25000</v>
      </c>
      <c r="J13" s="186"/>
      <c r="K13" s="186">
        <v>21000</v>
      </c>
      <c r="L13" s="186"/>
      <c r="M13" s="186">
        <v>21000</v>
      </c>
      <c r="N13" s="186"/>
      <c r="O13" s="186">
        <v>15927</v>
      </c>
      <c r="P13" s="186">
        <v>10000</v>
      </c>
      <c r="Q13" s="186"/>
      <c r="R13" s="186"/>
      <c r="S13" s="167">
        <f t="shared" ref="S13:S14" si="10">SUM(G13:R13)</f>
        <v>114000</v>
      </c>
      <c r="T13" s="166" t="s">
        <v>177</v>
      </c>
      <c r="U13" s="176" t="s">
        <v>264</v>
      </c>
      <c r="V13" s="176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</row>
    <row r="14" spans="1:67" s="174" customFormat="1" ht="21" hidden="1" outlineLevel="1">
      <c r="A14" s="173"/>
      <c r="B14" s="162" t="s">
        <v>190</v>
      </c>
      <c r="C14" s="163"/>
      <c r="D14" s="177">
        <v>74800</v>
      </c>
      <c r="E14" s="163"/>
      <c r="F14" s="163"/>
      <c r="G14" s="16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67">
        <f t="shared" si="10"/>
        <v>0</v>
      </c>
      <c r="T14" s="166" t="s">
        <v>177</v>
      </c>
      <c r="U14" s="188" t="s">
        <v>191</v>
      </c>
      <c r="V14" s="176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</row>
    <row r="15" spans="1:67" s="174" customFormat="1" ht="21" hidden="1" outlineLevel="1">
      <c r="A15" s="173"/>
      <c r="B15" s="162" t="s">
        <v>192</v>
      </c>
      <c r="C15" s="163"/>
      <c r="D15" s="163"/>
      <c r="E15" s="163"/>
      <c r="F15" s="163"/>
      <c r="G15" s="167">
        <v>4833</v>
      </c>
      <c r="H15" s="167">
        <v>20000</v>
      </c>
      <c r="I15" s="167">
        <v>2000</v>
      </c>
      <c r="J15" s="167">
        <v>2000</v>
      </c>
      <c r="K15" s="167">
        <v>2000</v>
      </c>
      <c r="L15" s="167">
        <v>2000</v>
      </c>
      <c r="M15" s="167"/>
      <c r="N15" s="167"/>
      <c r="O15" s="167"/>
      <c r="P15" s="167"/>
      <c r="Q15" s="167"/>
      <c r="R15" s="167"/>
      <c r="S15" s="167">
        <f>SUM(G15:R15)</f>
        <v>32833</v>
      </c>
      <c r="T15" s="166" t="s">
        <v>177</v>
      </c>
      <c r="U15" s="176" t="s">
        <v>193</v>
      </c>
      <c r="V15" s="176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</row>
    <row r="16" spans="1:67" s="174" customFormat="1" ht="21" hidden="1" outlineLevel="1">
      <c r="A16" s="173"/>
      <c r="B16" s="162" t="s">
        <v>194</v>
      </c>
      <c r="C16" s="163"/>
      <c r="D16" s="163"/>
      <c r="E16" s="163"/>
      <c r="F16" s="163"/>
      <c r="G16" s="167"/>
      <c r="H16" s="167"/>
      <c r="I16" s="167"/>
      <c r="J16" s="167"/>
      <c r="K16" s="167"/>
      <c r="L16" s="167"/>
      <c r="M16" s="187">
        <v>2000</v>
      </c>
      <c r="N16" s="167">
        <v>36800</v>
      </c>
      <c r="O16" s="187">
        <v>1000</v>
      </c>
      <c r="P16" s="187">
        <v>1000</v>
      </c>
      <c r="Q16" s="187">
        <v>1000</v>
      </c>
      <c r="R16" s="167"/>
      <c r="S16" s="167">
        <f>SUM(G16:R16)</f>
        <v>41800</v>
      </c>
      <c r="T16" s="166" t="s">
        <v>177</v>
      </c>
      <c r="U16" s="176" t="s">
        <v>195</v>
      </c>
      <c r="V16" s="176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</row>
    <row r="17" spans="1:67" s="154" customFormat="1" ht="21" collapsed="1">
      <c r="B17" s="155" t="s">
        <v>144</v>
      </c>
      <c r="C17" s="156">
        <f t="shared" ref="C17:R17" si="11">SUM(C18:C18)</f>
        <v>56405</v>
      </c>
      <c r="D17" s="156">
        <f t="shared" si="11"/>
        <v>22253</v>
      </c>
      <c r="E17" s="156">
        <f t="shared" si="11"/>
        <v>0</v>
      </c>
      <c r="F17" s="156">
        <f t="shared" si="11"/>
        <v>0</v>
      </c>
      <c r="G17" s="157">
        <f t="shared" si="11"/>
        <v>0</v>
      </c>
      <c r="H17" s="157">
        <f t="shared" si="11"/>
        <v>20000</v>
      </c>
      <c r="I17" s="157">
        <f t="shared" si="11"/>
        <v>0</v>
      </c>
      <c r="J17" s="157">
        <f t="shared" si="11"/>
        <v>0</v>
      </c>
      <c r="K17" s="157">
        <f t="shared" si="11"/>
        <v>0</v>
      </c>
      <c r="L17" s="157">
        <f t="shared" si="11"/>
        <v>0</v>
      </c>
      <c r="M17" s="157">
        <f t="shared" si="11"/>
        <v>0</v>
      </c>
      <c r="N17" s="157">
        <f t="shared" si="11"/>
        <v>0</v>
      </c>
      <c r="O17" s="157">
        <f t="shared" si="11"/>
        <v>0</v>
      </c>
      <c r="P17" s="157">
        <f t="shared" si="11"/>
        <v>0</v>
      </c>
      <c r="Q17" s="157">
        <f t="shared" si="11"/>
        <v>0</v>
      </c>
      <c r="R17" s="157">
        <f t="shared" si="11"/>
        <v>0</v>
      </c>
      <c r="S17" s="158">
        <f>SUM(G17:R17)</f>
        <v>20000</v>
      </c>
      <c r="T17" s="159" t="s">
        <v>175</v>
      </c>
      <c r="U17" s="160"/>
      <c r="V17" s="160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</row>
    <row r="18" spans="1:67" s="174" customFormat="1" ht="21" hidden="1" outlineLevel="1">
      <c r="A18" s="173"/>
      <c r="B18" s="189" t="s">
        <v>196</v>
      </c>
      <c r="C18" s="190">
        <v>56405</v>
      </c>
      <c r="D18" s="177">
        <v>22253</v>
      </c>
      <c r="E18" s="163">
        <v>0</v>
      </c>
      <c r="F18" s="163">
        <v>0</v>
      </c>
      <c r="G18" s="167"/>
      <c r="H18" s="167">
        <v>20000</v>
      </c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75">
        <f>SUM(G18:R18)</f>
        <v>20000</v>
      </c>
      <c r="T18" s="172" t="s">
        <v>197</v>
      </c>
      <c r="U18" s="176" t="s">
        <v>198</v>
      </c>
      <c r="V18" s="176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</row>
    <row r="19" spans="1:67" s="154" customFormat="1" ht="21" collapsed="1">
      <c r="B19" s="191" t="s">
        <v>143</v>
      </c>
      <c r="C19" s="192">
        <f>SUM(C20:C24)</f>
        <v>613938</v>
      </c>
      <c r="D19" s="192">
        <f t="shared" ref="D19:F19" si="12">SUM(D20:D24)</f>
        <v>373256</v>
      </c>
      <c r="E19" s="192">
        <f t="shared" si="12"/>
        <v>41750</v>
      </c>
      <c r="F19" s="192">
        <f t="shared" si="12"/>
        <v>41750</v>
      </c>
      <c r="G19" s="157">
        <f>SUM(G20:G24)</f>
        <v>12833.333333333334</v>
      </c>
      <c r="H19" s="157">
        <f t="shared" ref="H19:R19" si="13">SUM(H20:H24)</f>
        <v>12833.333333333334</v>
      </c>
      <c r="I19" s="157">
        <f t="shared" si="13"/>
        <v>12833.333333333334</v>
      </c>
      <c r="J19" s="157">
        <f t="shared" si="13"/>
        <v>12833.333333333334</v>
      </c>
      <c r="K19" s="157">
        <f t="shared" si="13"/>
        <v>12833.333333333334</v>
      </c>
      <c r="L19" s="157">
        <f t="shared" si="13"/>
        <v>14333.333333333334</v>
      </c>
      <c r="M19" s="157">
        <f t="shared" si="13"/>
        <v>14333.333333333334</v>
      </c>
      <c r="N19" s="157">
        <f t="shared" si="13"/>
        <v>14333.333333333334</v>
      </c>
      <c r="O19" s="157">
        <f t="shared" si="13"/>
        <v>14333.333333333334</v>
      </c>
      <c r="P19" s="157">
        <f t="shared" si="13"/>
        <v>14333.333333333334</v>
      </c>
      <c r="Q19" s="157">
        <f t="shared" si="13"/>
        <v>14333.333333333334</v>
      </c>
      <c r="R19" s="157">
        <f t="shared" si="13"/>
        <v>14333.333333333334</v>
      </c>
      <c r="S19" s="193">
        <f>SUM(G19:R19)</f>
        <v>164500</v>
      </c>
      <c r="T19" s="194" t="s">
        <v>175</v>
      </c>
      <c r="U19" s="160"/>
      <c r="V19" s="160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</row>
    <row r="20" spans="1:67" s="199" customFormat="1" ht="21" hidden="1" outlineLevel="1">
      <c r="A20" s="195"/>
      <c r="B20" s="196" t="s">
        <v>199</v>
      </c>
      <c r="C20" s="163">
        <v>200000</v>
      </c>
      <c r="D20" s="163">
        <v>5412</v>
      </c>
      <c r="E20" s="163">
        <v>20000</v>
      </c>
      <c r="F20" s="163">
        <v>20000</v>
      </c>
      <c r="G20" s="167">
        <f>154000/48</f>
        <v>3208.3333333333335</v>
      </c>
      <c r="H20" s="167">
        <f t="shared" ref="H20:R20" si="14">154000/48</f>
        <v>3208.3333333333335</v>
      </c>
      <c r="I20" s="167">
        <f t="shared" si="14"/>
        <v>3208.3333333333335</v>
      </c>
      <c r="J20" s="167">
        <f t="shared" si="14"/>
        <v>3208.3333333333335</v>
      </c>
      <c r="K20" s="167">
        <f t="shared" si="14"/>
        <v>3208.3333333333335</v>
      </c>
      <c r="L20" s="167">
        <f t="shared" si="14"/>
        <v>3208.3333333333335</v>
      </c>
      <c r="M20" s="167">
        <f t="shared" si="14"/>
        <v>3208.3333333333335</v>
      </c>
      <c r="N20" s="167">
        <f t="shared" si="14"/>
        <v>3208.3333333333335</v>
      </c>
      <c r="O20" s="167">
        <f t="shared" si="14"/>
        <v>3208.3333333333335</v>
      </c>
      <c r="P20" s="167">
        <f t="shared" si="14"/>
        <v>3208.3333333333335</v>
      </c>
      <c r="Q20" s="167">
        <f>154000/48</f>
        <v>3208.3333333333335</v>
      </c>
      <c r="R20" s="167">
        <f t="shared" si="14"/>
        <v>3208.3333333333335</v>
      </c>
      <c r="S20" s="197">
        <f t="shared" ref="S20:S23" si="15">SUM(G20:R20)</f>
        <v>38500</v>
      </c>
      <c r="T20" s="198" t="s">
        <v>180</v>
      </c>
      <c r="U20" s="167" t="s">
        <v>200</v>
      </c>
      <c r="V20" s="176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</row>
    <row r="21" spans="1:67" s="199" customFormat="1" ht="21" hidden="1" outlineLevel="1">
      <c r="A21" s="195"/>
      <c r="B21" s="196" t="s">
        <v>201</v>
      </c>
      <c r="C21" s="163">
        <v>217500</v>
      </c>
      <c r="D21" s="163">
        <v>217500</v>
      </c>
      <c r="E21" s="163">
        <v>21750</v>
      </c>
      <c r="F21" s="163">
        <v>21750</v>
      </c>
      <c r="G21" s="167">
        <f t="shared" ref="G21:R23" si="16">154000/48</f>
        <v>3208.3333333333335</v>
      </c>
      <c r="H21" s="167">
        <f t="shared" si="16"/>
        <v>3208.3333333333335</v>
      </c>
      <c r="I21" s="167">
        <f t="shared" si="16"/>
        <v>3208.3333333333335</v>
      </c>
      <c r="J21" s="167">
        <f t="shared" si="16"/>
        <v>3208.3333333333335</v>
      </c>
      <c r="K21" s="167">
        <f t="shared" si="16"/>
        <v>3208.3333333333335</v>
      </c>
      <c r="L21" s="167">
        <f t="shared" si="16"/>
        <v>3208.3333333333335</v>
      </c>
      <c r="M21" s="167">
        <f t="shared" si="16"/>
        <v>3208.3333333333335</v>
      </c>
      <c r="N21" s="167">
        <f t="shared" si="16"/>
        <v>3208.3333333333335</v>
      </c>
      <c r="O21" s="167">
        <f t="shared" si="16"/>
        <v>3208.3333333333335</v>
      </c>
      <c r="P21" s="167">
        <f t="shared" si="16"/>
        <v>3208.3333333333335</v>
      </c>
      <c r="Q21" s="167">
        <f t="shared" si="16"/>
        <v>3208.3333333333335</v>
      </c>
      <c r="R21" s="167">
        <f t="shared" si="16"/>
        <v>3208.3333333333335</v>
      </c>
      <c r="S21" s="197">
        <f t="shared" si="15"/>
        <v>38500</v>
      </c>
      <c r="T21" s="198" t="s">
        <v>180</v>
      </c>
      <c r="U21" s="167" t="s">
        <v>200</v>
      </c>
      <c r="V21" s="176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</row>
    <row r="22" spans="1:67" s="199" customFormat="1" ht="21" hidden="1" outlineLevel="1">
      <c r="A22" s="195"/>
      <c r="B22" s="196" t="s">
        <v>202</v>
      </c>
      <c r="C22" s="163">
        <v>98000</v>
      </c>
      <c r="D22" s="163">
        <v>51906</v>
      </c>
      <c r="E22" s="163">
        <v>0</v>
      </c>
      <c r="F22" s="163">
        <v>0</v>
      </c>
      <c r="G22" s="167">
        <f t="shared" si="16"/>
        <v>3208.3333333333335</v>
      </c>
      <c r="H22" s="167">
        <f t="shared" si="16"/>
        <v>3208.3333333333335</v>
      </c>
      <c r="I22" s="167">
        <f t="shared" si="16"/>
        <v>3208.3333333333335</v>
      </c>
      <c r="J22" s="167">
        <f t="shared" si="16"/>
        <v>3208.3333333333335</v>
      </c>
      <c r="K22" s="167">
        <f t="shared" si="16"/>
        <v>3208.3333333333335</v>
      </c>
      <c r="L22" s="167">
        <f t="shared" si="16"/>
        <v>3208.3333333333335</v>
      </c>
      <c r="M22" s="167">
        <f t="shared" si="16"/>
        <v>3208.3333333333335</v>
      </c>
      <c r="N22" s="167">
        <f t="shared" si="16"/>
        <v>3208.3333333333335</v>
      </c>
      <c r="O22" s="167">
        <f t="shared" si="16"/>
        <v>3208.3333333333335</v>
      </c>
      <c r="P22" s="167">
        <f t="shared" si="16"/>
        <v>3208.3333333333335</v>
      </c>
      <c r="Q22" s="167">
        <f t="shared" si="16"/>
        <v>3208.3333333333335</v>
      </c>
      <c r="R22" s="167">
        <f t="shared" si="16"/>
        <v>3208.3333333333335</v>
      </c>
      <c r="S22" s="197">
        <f t="shared" si="15"/>
        <v>38500</v>
      </c>
      <c r="T22" s="198" t="s">
        <v>180</v>
      </c>
      <c r="U22" s="167" t="s">
        <v>200</v>
      </c>
      <c r="V22" s="176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</row>
    <row r="23" spans="1:67" s="174" customFormat="1" ht="21" hidden="1" outlineLevel="1">
      <c r="A23" s="173"/>
      <c r="B23" s="196" t="s">
        <v>203</v>
      </c>
      <c r="C23" s="163">
        <v>49939</v>
      </c>
      <c r="D23" s="163">
        <v>49939</v>
      </c>
      <c r="E23" s="163">
        <v>0</v>
      </c>
      <c r="F23" s="163">
        <v>0</v>
      </c>
      <c r="G23" s="167">
        <f t="shared" si="16"/>
        <v>3208.3333333333335</v>
      </c>
      <c r="H23" s="167">
        <f t="shared" si="16"/>
        <v>3208.3333333333335</v>
      </c>
      <c r="I23" s="167">
        <f t="shared" si="16"/>
        <v>3208.3333333333335</v>
      </c>
      <c r="J23" s="167">
        <f t="shared" si="16"/>
        <v>3208.3333333333335</v>
      </c>
      <c r="K23" s="167">
        <f t="shared" si="16"/>
        <v>3208.3333333333335</v>
      </c>
      <c r="L23" s="167">
        <f t="shared" si="16"/>
        <v>3208.3333333333335</v>
      </c>
      <c r="M23" s="167">
        <f t="shared" si="16"/>
        <v>3208.3333333333335</v>
      </c>
      <c r="N23" s="167">
        <f t="shared" si="16"/>
        <v>3208.3333333333335</v>
      </c>
      <c r="O23" s="167">
        <f t="shared" si="16"/>
        <v>3208.3333333333335</v>
      </c>
      <c r="P23" s="167">
        <f t="shared" si="16"/>
        <v>3208.3333333333335</v>
      </c>
      <c r="Q23" s="167">
        <f t="shared" si="16"/>
        <v>3208.3333333333335</v>
      </c>
      <c r="R23" s="167">
        <f t="shared" si="16"/>
        <v>3208.3333333333335</v>
      </c>
      <c r="S23" s="197">
        <f t="shared" si="15"/>
        <v>38500</v>
      </c>
      <c r="T23" s="198" t="s">
        <v>180</v>
      </c>
      <c r="U23" s="167" t="s">
        <v>200</v>
      </c>
      <c r="V23" s="176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</row>
    <row r="24" spans="1:67" s="174" customFormat="1" ht="21" hidden="1" outlineLevel="1">
      <c r="A24" s="173"/>
      <c r="B24" s="196" t="s">
        <v>204</v>
      </c>
      <c r="C24" s="163">
        <v>48499</v>
      </c>
      <c r="D24" s="163">
        <v>48499</v>
      </c>
      <c r="E24" s="163">
        <v>0</v>
      </c>
      <c r="F24" s="163">
        <v>0</v>
      </c>
      <c r="G24" s="167"/>
      <c r="H24" s="167"/>
      <c r="I24" s="167"/>
      <c r="J24" s="167"/>
      <c r="K24" s="167"/>
      <c r="L24" s="167">
        <v>1500</v>
      </c>
      <c r="M24" s="167">
        <v>1500</v>
      </c>
      <c r="N24" s="167">
        <v>1500</v>
      </c>
      <c r="O24" s="167">
        <v>1500</v>
      </c>
      <c r="P24" s="167">
        <v>1500</v>
      </c>
      <c r="Q24" s="167">
        <v>1500</v>
      </c>
      <c r="R24" s="167">
        <v>1500</v>
      </c>
      <c r="S24" s="197">
        <f>SUM(G24:R24)</f>
        <v>10500</v>
      </c>
      <c r="T24" s="198" t="s">
        <v>180</v>
      </c>
      <c r="U24" s="167" t="s">
        <v>205</v>
      </c>
      <c r="V24" s="176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</row>
    <row r="25" spans="1:67" s="201" customFormat="1" ht="7.05" customHeight="1">
      <c r="A25" s="200"/>
      <c r="S25" s="202"/>
      <c r="T25" s="203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</row>
    <row r="26" spans="1:67" s="153" customFormat="1" ht="21.6" thickBot="1">
      <c r="A26" s="149" t="s">
        <v>206</v>
      </c>
      <c r="B26" s="150"/>
      <c r="C26" s="150"/>
      <c r="D26" s="150"/>
      <c r="E26" s="150"/>
      <c r="F26" s="150"/>
      <c r="G26" s="151">
        <f t="shared" ref="G26:R26" si="17">G27+G33+G46+G48</f>
        <v>154120.83333333334</v>
      </c>
      <c r="H26" s="151">
        <f t="shared" si="17"/>
        <v>431570.83333333331</v>
      </c>
      <c r="I26" s="151">
        <f t="shared" si="17"/>
        <v>80345.833333333328</v>
      </c>
      <c r="J26" s="151">
        <f t="shared" si="17"/>
        <v>37045.833333333336</v>
      </c>
      <c r="K26" s="151">
        <f t="shared" si="17"/>
        <v>57045.833333333336</v>
      </c>
      <c r="L26" s="151">
        <f t="shared" si="17"/>
        <v>39295.833333333336</v>
      </c>
      <c r="M26" s="151">
        <f t="shared" si="17"/>
        <v>66128.833333333328</v>
      </c>
      <c r="N26" s="151">
        <f t="shared" si="17"/>
        <v>103128.83333333333</v>
      </c>
      <c r="O26" s="151">
        <f t="shared" si="17"/>
        <v>131203.83333333334</v>
      </c>
      <c r="P26" s="151">
        <f t="shared" si="17"/>
        <v>47703.833333333336</v>
      </c>
      <c r="Q26" s="151">
        <f t="shared" si="17"/>
        <v>38453.833333333336</v>
      </c>
      <c r="R26" s="151">
        <f t="shared" si="17"/>
        <v>236955.83333333334</v>
      </c>
      <c r="S26" s="151">
        <f>SUM(G26:R26)</f>
        <v>1423000</v>
      </c>
      <c r="T26" s="152"/>
      <c r="U26" s="149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</row>
    <row r="27" spans="1:67" s="205" customFormat="1" ht="21" collapsed="1">
      <c r="B27" s="206" t="s">
        <v>207</v>
      </c>
      <c r="C27" s="207"/>
      <c r="D27" s="207"/>
      <c r="E27" s="207"/>
      <c r="F27" s="207"/>
      <c r="G27" s="158">
        <f>SUM(G28:G32)</f>
        <v>7950</v>
      </c>
      <c r="H27" s="158">
        <f t="shared" ref="H27:R27" si="18">SUM(H28:H32)</f>
        <v>8150</v>
      </c>
      <c r="I27" s="158">
        <f t="shared" si="18"/>
        <v>16750</v>
      </c>
      <c r="J27" s="158">
        <f t="shared" si="18"/>
        <v>10450</v>
      </c>
      <c r="K27" s="158">
        <f t="shared" si="18"/>
        <v>11450</v>
      </c>
      <c r="L27" s="158">
        <f t="shared" si="18"/>
        <v>11450</v>
      </c>
      <c r="M27" s="158">
        <f t="shared" si="18"/>
        <v>20283</v>
      </c>
      <c r="N27" s="158">
        <f t="shared" si="18"/>
        <v>40283</v>
      </c>
      <c r="O27" s="158">
        <f t="shared" si="18"/>
        <v>87283</v>
      </c>
      <c r="P27" s="158">
        <f t="shared" si="18"/>
        <v>14283</v>
      </c>
      <c r="Q27" s="158">
        <f t="shared" si="18"/>
        <v>14283</v>
      </c>
      <c r="R27" s="158">
        <f t="shared" si="18"/>
        <v>14285</v>
      </c>
      <c r="S27" s="158">
        <f>SUM(G27:R27)</f>
        <v>256900</v>
      </c>
      <c r="T27" s="159"/>
      <c r="U27" s="208"/>
      <c r="V27" s="20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</row>
    <row r="28" spans="1:67" s="199" customFormat="1" ht="21" hidden="1" outlineLevel="1">
      <c r="A28" s="209"/>
      <c r="B28" s="196" t="s">
        <v>208</v>
      </c>
      <c r="C28" s="163"/>
      <c r="D28" s="163"/>
      <c r="E28" s="163"/>
      <c r="F28" s="163"/>
      <c r="G28" s="167">
        <v>250</v>
      </c>
      <c r="H28" s="167">
        <v>250</v>
      </c>
      <c r="I28" s="167">
        <v>250</v>
      </c>
      <c r="J28" s="167">
        <v>250</v>
      </c>
      <c r="K28" s="167">
        <v>250</v>
      </c>
      <c r="L28" s="167">
        <v>250</v>
      </c>
      <c r="M28" s="167">
        <v>250</v>
      </c>
      <c r="N28" s="167">
        <v>250</v>
      </c>
      <c r="O28" s="167">
        <v>250</v>
      </c>
      <c r="P28" s="167">
        <v>250</v>
      </c>
      <c r="Q28" s="167">
        <v>250</v>
      </c>
      <c r="R28" s="167">
        <v>250</v>
      </c>
      <c r="S28" s="167">
        <f t="shared" ref="S28:S32" si="19">SUM(G28:R28)</f>
        <v>3000</v>
      </c>
      <c r="T28" s="166"/>
      <c r="U28" s="167" t="s">
        <v>209</v>
      </c>
      <c r="V28" s="167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</row>
    <row r="29" spans="1:67" s="199" customFormat="1" ht="21" hidden="1" outlineLevel="1">
      <c r="A29" s="209"/>
      <c r="B29" s="196" t="s">
        <v>210</v>
      </c>
      <c r="C29" s="163"/>
      <c r="D29" s="163"/>
      <c r="E29" s="163"/>
      <c r="F29" s="163"/>
      <c r="G29" s="167">
        <v>3700</v>
      </c>
      <c r="H29" s="167">
        <v>3700</v>
      </c>
      <c r="I29" s="167">
        <v>3700</v>
      </c>
      <c r="J29" s="167">
        <v>3700</v>
      </c>
      <c r="K29" s="167">
        <v>3700</v>
      </c>
      <c r="L29" s="167">
        <v>3700</v>
      </c>
      <c r="M29" s="167">
        <v>3700</v>
      </c>
      <c r="N29" s="167">
        <v>3700</v>
      </c>
      <c r="O29" s="167">
        <v>3700</v>
      </c>
      <c r="P29" s="167">
        <v>3700</v>
      </c>
      <c r="Q29" s="167">
        <v>3700</v>
      </c>
      <c r="R29" s="167">
        <v>3700</v>
      </c>
      <c r="S29" s="167">
        <f t="shared" si="19"/>
        <v>44400</v>
      </c>
      <c r="T29" s="166"/>
      <c r="U29" s="167"/>
      <c r="V29" s="167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</row>
    <row r="30" spans="1:67" s="199" customFormat="1" ht="21" hidden="1" outlineLevel="1">
      <c r="A30" s="209"/>
      <c r="B30" s="196" t="s">
        <v>211</v>
      </c>
      <c r="C30" s="163"/>
      <c r="D30" s="163"/>
      <c r="E30" s="163"/>
      <c r="F30" s="163"/>
      <c r="G30" s="167"/>
      <c r="H30" s="167"/>
      <c r="I30" s="167">
        <v>8000</v>
      </c>
      <c r="J30" s="167"/>
      <c r="K30" s="167"/>
      <c r="L30" s="167"/>
      <c r="M30" s="167">
        <v>4833</v>
      </c>
      <c r="N30" s="167">
        <v>4833</v>
      </c>
      <c r="O30" s="167">
        <v>4833</v>
      </c>
      <c r="P30" s="167">
        <v>4833</v>
      </c>
      <c r="Q30" s="167">
        <v>4833</v>
      </c>
      <c r="R30" s="167">
        <v>4835</v>
      </c>
      <c r="S30" s="167">
        <f t="shared" si="19"/>
        <v>37000</v>
      </c>
      <c r="T30" s="166"/>
      <c r="U30" s="167" t="s">
        <v>212</v>
      </c>
      <c r="V30" s="167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</row>
    <row r="31" spans="1:67" s="199" customFormat="1" ht="21" hidden="1" outlineLevel="1">
      <c r="A31" s="209"/>
      <c r="B31" s="196" t="s">
        <v>213</v>
      </c>
      <c r="C31" s="163"/>
      <c r="D31" s="163"/>
      <c r="E31" s="163"/>
      <c r="F31" s="163"/>
      <c r="G31" s="167"/>
      <c r="H31" s="167"/>
      <c r="I31" s="167"/>
      <c r="J31" s="167"/>
      <c r="K31" s="167"/>
      <c r="L31" s="167"/>
      <c r="M31" s="167">
        <v>4000</v>
      </c>
      <c r="N31" s="167">
        <v>24000</v>
      </c>
      <c r="O31" s="167">
        <v>72000</v>
      </c>
      <c r="P31" s="167"/>
      <c r="Q31" s="167"/>
      <c r="R31" s="167"/>
      <c r="S31" s="167">
        <f t="shared" si="19"/>
        <v>100000</v>
      </c>
      <c r="T31" s="166"/>
      <c r="U31" s="167"/>
      <c r="V31" s="167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</row>
    <row r="32" spans="1:67" s="199" customFormat="1" ht="21" hidden="1" outlineLevel="1">
      <c r="A32" s="209"/>
      <c r="B32" s="196" t="s">
        <v>214</v>
      </c>
      <c r="C32" s="163"/>
      <c r="D32" s="163"/>
      <c r="E32" s="163"/>
      <c r="F32" s="163"/>
      <c r="G32" s="178">
        <v>4000</v>
      </c>
      <c r="H32" s="178">
        <v>4200</v>
      </c>
      <c r="I32" s="178">
        <v>4800</v>
      </c>
      <c r="J32" s="178">
        <v>6500</v>
      </c>
      <c r="K32" s="178">
        <v>7500</v>
      </c>
      <c r="L32" s="178">
        <v>7500</v>
      </c>
      <c r="M32" s="178">
        <v>7500</v>
      </c>
      <c r="N32" s="178">
        <v>7500</v>
      </c>
      <c r="O32" s="178">
        <v>6500</v>
      </c>
      <c r="P32" s="178">
        <v>5500</v>
      </c>
      <c r="Q32" s="178">
        <v>5500</v>
      </c>
      <c r="R32" s="178">
        <v>5500</v>
      </c>
      <c r="S32" s="167">
        <f t="shared" si="19"/>
        <v>72500</v>
      </c>
      <c r="T32" s="166"/>
      <c r="U32" s="167" t="s">
        <v>263</v>
      </c>
      <c r="V32" s="167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</row>
    <row r="33" spans="1:67" s="205" customFormat="1" ht="21" collapsed="1">
      <c r="B33" s="206" t="s">
        <v>215</v>
      </c>
      <c r="C33" s="207"/>
      <c r="D33" s="207"/>
      <c r="E33" s="207"/>
      <c r="F33" s="207"/>
      <c r="G33" s="158">
        <f>SUM(G34:G45)</f>
        <v>133337.5</v>
      </c>
      <c r="H33" s="158">
        <f t="shared" ref="H33:I33" si="20">SUM(H34:H45)</f>
        <v>410587.5</v>
      </c>
      <c r="I33" s="158">
        <f t="shared" si="20"/>
        <v>50762.5</v>
      </c>
      <c r="J33" s="158">
        <f>SUM(J34:J45)</f>
        <v>13762.5</v>
      </c>
      <c r="K33" s="158">
        <f t="shared" ref="K33:L33" si="21">SUM(K34:K45)</f>
        <v>32762.5</v>
      </c>
      <c r="L33" s="158">
        <f t="shared" si="21"/>
        <v>13512.5</v>
      </c>
      <c r="M33" s="158">
        <f>SUM(M34:M45)</f>
        <v>31512.5</v>
      </c>
      <c r="N33" s="158">
        <f t="shared" ref="N33:O33" si="22">SUM(N34:N45)</f>
        <v>48512.5</v>
      </c>
      <c r="O33" s="158">
        <f t="shared" si="22"/>
        <v>29587.5</v>
      </c>
      <c r="P33" s="158">
        <f>SUM(P34:P45)</f>
        <v>19087.5</v>
      </c>
      <c r="Q33" s="158">
        <f>SUM(Q34:Q45)</f>
        <v>9837.5</v>
      </c>
      <c r="R33" s="158">
        <f t="shared" ref="R33" si="23">SUM(R34:R45)</f>
        <v>208337.5</v>
      </c>
      <c r="S33" s="158">
        <f>SUM(G33:R33)</f>
        <v>1001600</v>
      </c>
      <c r="T33" s="159"/>
      <c r="U33" s="208"/>
      <c r="V33" s="20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</row>
    <row r="34" spans="1:67" s="199" customFormat="1" ht="21" hidden="1" outlineLevel="1">
      <c r="A34" s="209"/>
      <c r="B34" s="196" t="s">
        <v>216</v>
      </c>
      <c r="C34" s="163"/>
      <c r="D34" s="163"/>
      <c r="E34" s="163"/>
      <c r="F34" s="163"/>
      <c r="G34" s="167">
        <f>4750*1.25</f>
        <v>5937.5</v>
      </c>
      <c r="H34" s="167">
        <f t="shared" ref="H34:R34" si="24">4750*1.25</f>
        <v>5937.5</v>
      </c>
      <c r="I34" s="167">
        <f>4750*1.25+500</f>
        <v>6437.5</v>
      </c>
      <c r="J34" s="167">
        <f t="shared" ref="J34:N34" si="25">4750*1.25+500</f>
        <v>6437.5</v>
      </c>
      <c r="K34" s="167">
        <f t="shared" si="25"/>
        <v>6437.5</v>
      </c>
      <c r="L34" s="167">
        <f t="shared" si="25"/>
        <v>6437.5</v>
      </c>
      <c r="M34" s="167">
        <f t="shared" si="25"/>
        <v>6437.5</v>
      </c>
      <c r="N34" s="167">
        <f t="shared" si="25"/>
        <v>6437.5</v>
      </c>
      <c r="O34" s="167">
        <f t="shared" si="24"/>
        <v>5937.5</v>
      </c>
      <c r="P34" s="167">
        <f>4750*1.25</f>
        <v>5937.5</v>
      </c>
      <c r="Q34" s="167">
        <f t="shared" si="24"/>
        <v>5937.5</v>
      </c>
      <c r="R34" s="167">
        <f t="shared" si="24"/>
        <v>5937.5</v>
      </c>
      <c r="S34" s="167">
        <f>SUM(G34:R34)</f>
        <v>74250</v>
      </c>
      <c r="T34" s="166"/>
      <c r="U34" s="167" t="s">
        <v>217</v>
      </c>
      <c r="V34" s="167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</row>
    <row r="35" spans="1:67" s="199" customFormat="1" ht="21" hidden="1" outlineLevel="1">
      <c r="A35" s="209"/>
      <c r="B35" s="196" t="s">
        <v>208</v>
      </c>
      <c r="C35" s="163"/>
      <c r="D35" s="163"/>
      <c r="E35" s="163"/>
      <c r="F35" s="163"/>
      <c r="G35" s="167">
        <v>1400</v>
      </c>
      <c r="H35" s="167">
        <v>1400</v>
      </c>
      <c r="I35" s="167">
        <v>1400</v>
      </c>
      <c r="J35" s="167">
        <v>1400</v>
      </c>
      <c r="K35" s="167">
        <v>1400</v>
      </c>
      <c r="L35" s="167">
        <v>1400</v>
      </c>
      <c r="M35" s="167">
        <v>1400</v>
      </c>
      <c r="N35" s="167">
        <v>1400</v>
      </c>
      <c r="O35" s="167">
        <v>1400</v>
      </c>
      <c r="P35" s="167">
        <v>1400</v>
      </c>
      <c r="Q35" s="167">
        <v>1400</v>
      </c>
      <c r="R35" s="167">
        <v>1400</v>
      </c>
      <c r="S35" s="167">
        <f>SUM(G35:R35)</f>
        <v>16800</v>
      </c>
      <c r="T35" s="166"/>
      <c r="U35" s="167" t="s">
        <v>218</v>
      </c>
      <c r="V35" s="167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</row>
    <row r="36" spans="1:67" s="199" customFormat="1" ht="21" hidden="1" outlineLevel="1">
      <c r="A36" s="209"/>
      <c r="B36" s="196" t="s">
        <v>145</v>
      </c>
      <c r="C36" s="163"/>
      <c r="D36" s="163"/>
      <c r="E36" s="163"/>
      <c r="F36" s="163"/>
      <c r="G36" s="167">
        <v>105000</v>
      </c>
      <c r="H36" s="167">
        <v>400000</v>
      </c>
      <c r="I36" s="167">
        <v>2500</v>
      </c>
      <c r="J36" s="167">
        <v>2500</v>
      </c>
      <c r="K36" s="167">
        <v>2500</v>
      </c>
      <c r="L36" s="167">
        <v>2500</v>
      </c>
      <c r="M36" s="167">
        <v>2500</v>
      </c>
      <c r="N36" s="167">
        <v>2500</v>
      </c>
      <c r="O36" s="167">
        <v>2500</v>
      </c>
      <c r="P36" s="167">
        <v>2500</v>
      </c>
      <c r="Q36" s="167">
        <v>2500</v>
      </c>
      <c r="R36" s="167">
        <v>201000</v>
      </c>
      <c r="S36" s="167">
        <f>SUM(G36:R36)</f>
        <v>728500</v>
      </c>
      <c r="T36" s="166"/>
      <c r="U36" s="167" t="s">
        <v>265</v>
      </c>
      <c r="V36" s="167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</row>
    <row r="37" spans="1:67" s="199" customFormat="1" ht="21" hidden="1" outlineLevel="1">
      <c r="A37" s="209"/>
      <c r="B37" s="196" t="s">
        <v>219</v>
      </c>
      <c r="C37" s="163"/>
      <c r="D37" s="163"/>
      <c r="E37" s="163"/>
      <c r="F37" s="163"/>
      <c r="G37" s="186">
        <v>20000</v>
      </c>
      <c r="H37" s="186">
        <v>1000</v>
      </c>
      <c r="I37" s="186">
        <v>20000</v>
      </c>
      <c r="J37" s="186">
        <v>1000</v>
      </c>
      <c r="K37" s="186">
        <v>20000</v>
      </c>
      <c r="L37" s="186">
        <v>1000</v>
      </c>
      <c r="M37" s="186">
        <v>20000</v>
      </c>
      <c r="N37" s="186">
        <v>1000</v>
      </c>
      <c r="O37" s="186">
        <v>19000</v>
      </c>
      <c r="P37" s="167">
        <v>8000</v>
      </c>
      <c r="Q37" s="167">
        <v>0</v>
      </c>
      <c r="R37" s="167"/>
      <c r="S37" s="167">
        <f t="shared" ref="S37:S45" si="26">SUM(G37:R37)</f>
        <v>111000</v>
      </c>
      <c r="T37" s="166"/>
      <c r="U37" s="167" t="s">
        <v>220</v>
      </c>
      <c r="V37" s="167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</row>
    <row r="38" spans="1:67" s="199" customFormat="1" ht="21" hidden="1" outlineLevel="1">
      <c r="A38" s="209"/>
      <c r="B38" s="196" t="s">
        <v>221</v>
      </c>
      <c r="C38" s="163"/>
      <c r="D38" s="163"/>
      <c r="E38" s="163"/>
      <c r="F38" s="163"/>
      <c r="G38" s="167"/>
      <c r="H38" s="167">
        <v>1000</v>
      </c>
      <c r="I38" s="167">
        <v>18000</v>
      </c>
      <c r="J38" s="167"/>
      <c r="K38" s="167"/>
      <c r="L38" s="167"/>
      <c r="M38" s="167"/>
      <c r="N38" s="167"/>
      <c r="O38" s="167"/>
      <c r="P38" s="167"/>
      <c r="Q38" s="167"/>
      <c r="R38" s="167"/>
      <c r="S38" s="167">
        <f t="shared" si="26"/>
        <v>19000</v>
      </c>
      <c r="T38" s="166"/>
      <c r="U38" s="167" t="s">
        <v>222</v>
      </c>
      <c r="V38" s="167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</row>
    <row r="39" spans="1:67" s="199" customFormat="1" ht="21" hidden="1" outlineLevel="1">
      <c r="A39" s="209"/>
      <c r="B39" s="196" t="s">
        <v>223</v>
      </c>
      <c r="C39" s="163"/>
      <c r="D39" s="163"/>
      <c r="E39" s="163"/>
      <c r="F39" s="163"/>
      <c r="G39" s="167"/>
      <c r="H39" s="167">
        <v>250</v>
      </c>
      <c r="I39" s="167">
        <v>250</v>
      </c>
      <c r="J39" s="167">
        <v>250</v>
      </c>
      <c r="K39" s="167">
        <v>250</v>
      </c>
      <c r="L39" s="167"/>
      <c r="M39" s="167"/>
      <c r="N39" s="167"/>
      <c r="O39" s="167"/>
      <c r="P39" s="167"/>
      <c r="Q39" s="167"/>
      <c r="R39" s="167"/>
      <c r="S39" s="167">
        <f t="shared" si="26"/>
        <v>1000</v>
      </c>
      <c r="T39" s="166"/>
      <c r="U39" s="167" t="s">
        <v>224</v>
      </c>
      <c r="V39" s="167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</row>
    <row r="40" spans="1:67" s="199" customFormat="1" ht="21" hidden="1" outlineLevel="1">
      <c r="A40" s="209"/>
      <c r="B40" s="196" t="s">
        <v>225</v>
      </c>
      <c r="C40" s="163"/>
      <c r="D40" s="163"/>
      <c r="E40" s="163"/>
      <c r="F40" s="163"/>
      <c r="G40" s="167">
        <v>1000</v>
      </c>
      <c r="H40" s="167">
        <v>1000</v>
      </c>
      <c r="I40" s="167">
        <v>1000</v>
      </c>
      <c r="J40" s="167">
        <v>1000</v>
      </c>
      <c r="K40" s="167">
        <v>1000</v>
      </c>
      <c r="L40" s="167">
        <v>1000</v>
      </c>
      <c r="M40" s="167"/>
      <c r="N40" s="167">
        <v>36000</v>
      </c>
      <c r="O40" s="167"/>
      <c r="P40" s="167"/>
      <c r="Q40" s="167"/>
      <c r="R40" s="167"/>
      <c r="S40" s="167">
        <f t="shared" si="26"/>
        <v>42000</v>
      </c>
      <c r="T40" s="166"/>
      <c r="U40" s="167" t="s">
        <v>226</v>
      </c>
      <c r="V40" s="167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</row>
    <row r="41" spans="1:67" s="199" customFormat="1" ht="21" hidden="1" outlineLevel="1">
      <c r="A41" s="209"/>
      <c r="B41" s="196" t="s">
        <v>227</v>
      </c>
      <c r="C41" s="163"/>
      <c r="D41" s="163"/>
      <c r="E41" s="163"/>
      <c r="F41" s="163"/>
      <c r="G41" s="167"/>
      <c r="H41" s="167"/>
      <c r="I41" s="167">
        <v>425</v>
      </c>
      <c r="J41" s="167">
        <v>425</v>
      </c>
      <c r="K41" s="167">
        <v>425</v>
      </c>
      <c r="L41" s="167">
        <v>425</v>
      </c>
      <c r="M41" s="167">
        <v>425</v>
      </c>
      <c r="N41" s="167">
        <v>425</v>
      </c>
      <c r="O41" s="167"/>
      <c r="P41" s="167"/>
      <c r="Q41" s="167"/>
      <c r="R41" s="167"/>
      <c r="S41" s="167">
        <f t="shared" si="26"/>
        <v>2550</v>
      </c>
      <c r="T41" s="166"/>
      <c r="U41" s="167" t="s">
        <v>224</v>
      </c>
      <c r="V41" s="167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  <c r="AK41" s="148"/>
      <c r="AL41" s="148"/>
      <c r="AM41" s="148"/>
      <c r="AN41" s="148"/>
      <c r="AO41" s="148"/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</row>
    <row r="42" spans="1:67" s="199" customFormat="1" ht="21" hidden="1" outlineLevel="1">
      <c r="A42" s="209"/>
      <c r="B42" s="196" t="s">
        <v>228</v>
      </c>
      <c r="C42" s="163"/>
      <c r="D42" s="163"/>
      <c r="E42" s="163"/>
      <c r="F42" s="163"/>
      <c r="G42" s="167"/>
      <c r="H42" s="167"/>
      <c r="I42" s="167"/>
      <c r="J42" s="167"/>
      <c r="K42" s="167"/>
      <c r="L42" s="167"/>
      <c r="M42" s="167">
        <v>500</v>
      </c>
      <c r="N42" s="167">
        <v>500</v>
      </c>
      <c r="O42" s="167">
        <v>500</v>
      </c>
      <c r="P42" s="167">
        <v>1000</v>
      </c>
      <c r="Q42" s="167"/>
      <c r="R42" s="167"/>
      <c r="S42" s="167">
        <f t="shared" si="26"/>
        <v>2500</v>
      </c>
      <c r="T42" s="166"/>
      <c r="U42" s="167" t="s">
        <v>229</v>
      </c>
      <c r="V42" s="167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</row>
    <row r="43" spans="1:67" s="199" customFormat="1" ht="21" hidden="1" outlineLevel="1">
      <c r="A43" s="209"/>
      <c r="B43" s="196" t="s">
        <v>230</v>
      </c>
      <c r="C43" s="163"/>
      <c r="D43" s="163"/>
      <c r="E43" s="163"/>
      <c r="F43" s="163"/>
      <c r="G43" s="167"/>
      <c r="H43" s="167"/>
      <c r="I43" s="167">
        <v>250</v>
      </c>
      <c r="J43" s="167">
        <v>250</v>
      </c>
      <c r="K43" s="167">
        <v>250</v>
      </c>
      <c r="L43" s="167">
        <v>250</v>
      </c>
      <c r="M43" s="167">
        <v>250</v>
      </c>
      <c r="N43" s="167">
        <v>250</v>
      </c>
      <c r="O43" s="167"/>
      <c r="P43" s="167"/>
      <c r="Q43" s="167"/>
      <c r="R43" s="167"/>
      <c r="S43" s="167">
        <f t="shared" si="26"/>
        <v>1500</v>
      </c>
      <c r="T43" s="166"/>
      <c r="U43" s="167" t="s">
        <v>224</v>
      </c>
      <c r="V43" s="167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  <c r="AO43" s="148"/>
      <c r="AP43" s="148"/>
      <c r="AQ43" s="148"/>
      <c r="AR43" s="148"/>
      <c r="AS43" s="148"/>
      <c r="AT43" s="148"/>
      <c r="AU43" s="148"/>
      <c r="AV43" s="148"/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</row>
    <row r="44" spans="1:67" s="199" customFormat="1" ht="21" hidden="1" outlineLevel="1">
      <c r="A44" s="209"/>
      <c r="B44" s="196" t="s">
        <v>231</v>
      </c>
      <c r="C44" s="163"/>
      <c r="D44" s="163"/>
      <c r="E44" s="163"/>
      <c r="F44" s="163"/>
      <c r="G44" s="167"/>
      <c r="H44" s="167"/>
      <c r="I44" s="167">
        <v>500</v>
      </c>
      <c r="J44" s="167">
        <v>500</v>
      </c>
      <c r="K44" s="167">
        <v>500</v>
      </c>
      <c r="L44" s="167">
        <v>500</v>
      </c>
      <c r="M44" s="167"/>
      <c r="N44" s="167"/>
      <c r="O44" s="167"/>
      <c r="P44" s="167"/>
      <c r="Q44" s="167"/>
      <c r="R44" s="167"/>
      <c r="S44" s="167">
        <f t="shared" si="26"/>
        <v>2000</v>
      </c>
      <c r="T44" s="166"/>
      <c r="U44" s="167" t="s">
        <v>224</v>
      </c>
      <c r="V44" s="167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  <c r="AK44" s="148"/>
      <c r="AL44" s="148"/>
      <c r="AM44" s="148"/>
      <c r="AN44" s="148"/>
      <c r="AO44" s="148"/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</row>
    <row r="45" spans="1:67" s="199" customFormat="1" ht="21" hidden="1" outlineLevel="1">
      <c r="A45" s="209"/>
      <c r="B45" s="196" t="s">
        <v>232</v>
      </c>
      <c r="C45" s="163"/>
      <c r="D45" s="163"/>
      <c r="E45" s="163"/>
      <c r="F45" s="163"/>
      <c r="G45" s="167"/>
      <c r="H45" s="167"/>
      <c r="I45" s="167"/>
      <c r="J45" s="167"/>
      <c r="K45" s="167"/>
      <c r="L45" s="167"/>
      <c r="M45" s="167"/>
      <c r="N45" s="167"/>
      <c r="O45" s="167">
        <v>250</v>
      </c>
      <c r="P45" s="167">
        <v>250</v>
      </c>
      <c r="Q45" s="167"/>
      <c r="R45" s="167"/>
      <c r="S45" s="167">
        <f t="shared" si="26"/>
        <v>500</v>
      </c>
      <c r="T45" s="166"/>
      <c r="U45" s="167" t="s">
        <v>224</v>
      </c>
      <c r="V45" s="167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8"/>
      <c r="AT45" s="148"/>
      <c r="AU45" s="148"/>
      <c r="AV45" s="148"/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</row>
    <row r="46" spans="1:67" s="154" customFormat="1" ht="21" collapsed="1">
      <c r="B46" s="191" t="s">
        <v>233</v>
      </c>
      <c r="C46" s="192"/>
      <c r="D46" s="192"/>
      <c r="E46" s="192"/>
      <c r="F46" s="192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8">
        <f>SUM(G46:R46)</f>
        <v>0</v>
      </c>
      <c r="T46" s="159"/>
      <c r="U46" s="160"/>
      <c r="V46" s="160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Q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</row>
    <row r="47" spans="1:67" s="199" customFormat="1" ht="21" hidden="1" outlineLevel="1">
      <c r="A47" s="209"/>
      <c r="B47" s="196" t="s">
        <v>234</v>
      </c>
      <c r="C47" s="163"/>
      <c r="D47" s="163"/>
      <c r="E47" s="163"/>
      <c r="F47" s="163"/>
      <c r="G47" s="167">
        <v>500</v>
      </c>
      <c r="H47" s="167">
        <v>5000</v>
      </c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>
        <f t="shared" ref="S47" si="27">SUM(G47:R47)</f>
        <v>5500</v>
      </c>
      <c r="T47" s="166"/>
      <c r="U47" s="167" t="s">
        <v>235</v>
      </c>
      <c r="V47" s="167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  <c r="AK47" s="148"/>
      <c r="AL47" s="148"/>
      <c r="AM47" s="148"/>
      <c r="AN47" s="148"/>
      <c r="AO47" s="148"/>
      <c r="AP47" s="148"/>
      <c r="AQ47" s="148"/>
      <c r="AR47" s="148"/>
      <c r="AS47" s="148"/>
      <c r="AT47" s="148"/>
      <c r="AU47" s="148"/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</row>
    <row r="48" spans="1:67" s="154" customFormat="1" ht="21" collapsed="1">
      <c r="B48" s="191" t="s">
        <v>236</v>
      </c>
      <c r="C48" s="192"/>
      <c r="D48" s="192"/>
      <c r="E48" s="192"/>
      <c r="F48" s="192"/>
      <c r="G48" s="157">
        <f>SUM(G49:G53)</f>
        <v>12833.333333333334</v>
      </c>
      <c r="H48" s="157">
        <f t="shared" ref="H48:R48" si="28">SUM(H49:H53)</f>
        <v>12833.333333333334</v>
      </c>
      <c r="I48" s="157">
        <f t="shared" si="28"/>
        <v>12833.333333333334</v>
      </c>
      <c r="J48" s="157">
        <f t="shared" si="28"/>
        <v>12833.333333333334</v>
      </c>
      <c r="K48" s="157">
        <f t="shared" si="28"/>
        <v>12833.333333333334</v>
      </c>
      <c r="L48" s="157">
        <f t="shared" si="28"/>
        <v>14333.333333333334</v>
      </c>
      <c r="M48" s="157">
        <f t="shared" si="28"/>
        <v>14333.333333333334</v>
      </c>
      <c r="N48" s="157">
        <f t="shared" si="28"/>
        <v>14333.333333333334</v>
      </c>
      <c r="O48" s="157">
        <f t="shared" si="28"/>
        <v>14333.333333333334</v>
      </c>
      <c r="P48" s="157">
        <f t="shared" si="28"/>
        <v>14333.333333333334</v>
      </c>
      <c r="Q48" s="157">
        <f t="shared" si="28"/>
        <v>14333.333333333334</v>
      </c>
      <c r="R48" s="157">
        <f t="shared" si="28"/>
        <v>14333.333333333334</v>
      </c>
      <c r="S48" s="158">
        <f>SUM(G48:R48)</f>
        <v>164500</v>
      </c>
      <c r="T48" s="159"/>
      <c r="U48" s="160"/>
      <c r="V48" s="160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</row>
    <row r="49" spans="1:67" s="195" customFormat="1" ht="21" hidden="1" outlineLevel="1">
      <c r="A49" s="210"/>
      <c r="B49" s="196"/>
      <c r="C49" s="163"/>
      <c r="D49" s="163"/>
      <c r="E49" s="163"/>
      <c r="F49" s="163"/>
      <c r="G49" s="167">
        <f>154000/48</f>
        <v>3208.3333333333335</v>
      </c>
      <c r="H49" s="167">
        <f t="shared" ref="H49:R49" si="29">154000/48</f>
        <v>3208.3333333333335</v>
      </c>
      <c r="I49" s="167">
        <f t="shared" si="29"/>
        <v>3208.3333333333335</v>
      </c>
      <c r="J49" s="167">
        <f t="shared" si="29"/>
        <v>3208.3333333333335</v>
      </c>
      <c r="K49" s="167">
        <f t="shared" si="29"/>
        <v>3208.3333333333335</v>
      </c>
      <c r="L49" s="167">
        <f t="shared" si="29"/>
        <v>3208.3333333333335</v>
      </c>
      <c r="M49" s="167">
        <f t="shared" si="29"/>
        <v>3208.3333333333335</v>
      </c>
      <c r="N49" s="167">
        <f t="shared" si="29"/>
        <v>3208.3333333333335</v>
      </c>
      <c r="O49" s="167">
        <f t="shared" si="29"/>
        <v>3208.3333333333335</v>
      </c>
      <c r="P49" s="167">
        <f t="shared" si="29"/>
        <v>3208.3333333333335</v>
      </c>
      <c r="Q49" s="167">
        <f>154000/48</f>
        <v>3208.3333333333335</v>
      </c>
      <c r="R49" s="167">
        <f t="shared" si="29"/>
        <v>3208.3333333333335</v>
      </c>
      <c r="S49" s="167">
        <f t="shared" ref="S49:S53" si="30">SUM(G49:R49)</f>
        <v>38500</v>
      </c>
      <c r="T49" s="166"/>
      <c r="U49" s="167" t="s">
        <v>200</v>
      </c>
      <c r="V49" s="160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</row>
    <row r="50" spans="1:67" s="195" customFormat="1" ht="21" hidden="1" outlineLevel="1">
      <c r="A50" s="210"/>
      <c r="B50" s="196"/>
      <c r="C50" s="163"/>
      <c r="D50" s="163"/>
      <c r="E50" s="163"/>
      <c r="F50" s="163"/>
      <c r="G50" s="167">
        <f t="shared" ref="G50:R52" si="31">154000/48</f>
        <v>3208.3333333333335</v>
      </c>
      <c r="H50" s="167">
        <f t="shared" si="31"/>
        <v>3208.3333333333335</v>
      </c>
      <c r="I50" s="167">
        <f t="shared" si="31"/>
        <v>3208.3333333333335</v>
      </c>
      <c r="J50" s="167">
        <f t="shared" si="31"/>
        <v>3208.3333333333335</v>
      </c>
      <c r="K50" s="167">
        <f t="shared" si="31"/>
        <v>3208.3333333333335</v>
      </c>
      <c r="L50" s="167">
        <f t="shared" si="31"/>
        <v>3208.3333333333335</v>
      </c>
      <c r="M50" s="167">
        <f t="shared" si="31"/>
        <v>3208.3333333333335</v>
      </c>
      <c r="N50" s="167">
        <f t="shared" si="31"/>
        <v>3208.3333333333335</v>
      </c>
      <c r="O50" s="167">
        <f t="shared" si="31"/>
        <v>3208.3333333333335</v>
      </c>
      <c r="P50" s="167">
        <f t="shared" si="31"/>
        <v>3208.3333333333335</v>
      </c>
      <c r="Q50" s="167">
        <f t="shared" si="31"/>
        <v>3208.3333333333335</v>
      </c>
      <c r="R50" s="167">
        <f t="shared" si="31"/>
        <v>3208.3333333333335</v>
      </c>
      <c r="S50" s="167">
        <f t="shared" si="30"/>
        <v>38500</v>
      </c>
      <c r="T50" s="166"/>
      <c r="U50" s="167" t="s">
        <v>200</v>
      </c>
      <c r="V50" s="160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/>
      <c r="AO50" s="148"/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</row>
    <row r="51" spans="1:67" s="199" customFormat="1" ht="21" hidden="1" outlineLevel="1">
      <c r="A51" s="210"/>
      <c r="B51" s="196"/>
      <c r="C51" s="163"/>
      <c r="D51" s="163"/>
      <c r="E51" s="163"/>
      <c r="F51" s="163"/>
      <c r="G51" s="167">
        <f t="shared" si="31"/>
        <v>3208.3333333333335</v>
      </c>
      <c r="H51" s="167">
        <f t="shared" si="31"/>
        <v>3208.3333333333335</v>
      </c>
      <c r="I51" s="167">
        <f t="shared" si="31"/>
        <v>3208.3333333333335</v>
      </c>
      <c r="J51" s="167">
        <f t="shared" si="31"/>
        <v>3208.3333333333335</v>
      </c>
      <c r="K51" s="167">
        <f t="shared" si="31"/>
        <v>3208.3333333333335</v>
      </c>
      <c r="L51" s="167">
        <f t="shared" si="31"/>
        <v>3208.3333333333335</v>
      </c>
      <c r="M51" s="167">
        <f t="shared" si="31"/>
        <v>3208.3333333333335</v>
      </c>
      <c r="N51" s="167">
        <f t="shared" si="31"/>
        <v>3208.3333333333335</v>
      </c>
      <c r="O51" s="167">
        <f t="shared" si="31"/>
        <v>3208.3333333333335</v>
      </c>
      <c r="P51" s="167">
        <f t="shared" si="31"/>
        <v>3208.3333333333335</v>
      </c>
      <c r="Q51" s="167">
        <f t="shared" si="31"/>
        <v>3208.3333333333335</v>
      </c>
      <c r="R51" s="167">
        <f t="shared" si="31"/>
        <v>3208.3333333333335</v>
      </c>
      <c r="S51" s="167">
        <f t="shared" si="30"/>
        <v>38500</v>
      </c>
      <c r="T51" s="166"/>
      <c r="U51" s="167" t="s">
        <v>200</v>
      </c>
      <c r="V51" s="167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/>
      <c r="AO51" s="148"/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</row>
    <row r="52" spans="1:67" s="199" customFormat="1" ht="21" hidden="1" outlineLevel="1">
      <c r="A52" s="210"/>
      <c r="B52" s="196"/>
      <c r="C52" s="163"/>
      <c r="D52" s="163"/>
      <c r="E52" s="163"/>
      <c r="F52" s="163"/>
      <c r="G52" s="167">
        <f t="shared" si="31"/>
        <v>3208.3333333333335</v>
      </c>
      <c r="H52" s="167">
        <f t="shared" si="31"/>
        <v>3208.3333333333335</v>
      </c>
      <c r="I52" s="167">
        <f t="shared" si="31"/>
        <v>3208.3333333333335</v>
      </c>
      <c r="J52" s="167">
        <f t="shared" si="31"/>
        <v>3208.3333333333335</v>
      </c>
      <c r="K52" s="167">
        <f t="shared" si="31"/>
        <v>3208.3333333333335</v>
      </c>
      <c r="L52" s="167">
        <f t="shared" si="31"/>
        <v>3208.3333333333335</v>
      </c>
      <c r="M52" s="167">
        <f t="shared" si="31"/>
        <v>3208.3333333333335</v>
      </c>
      <c r="N52" s="167">
        <f t="shared" si="31"/>
        <v>3208.3333333333335</v>
      </c>
      <c r="O52" s="167">
        <f t="shared" si="31"/>
        <v>3208.3333333333335</v>
      </c>
      <c r="P52" s="167">
        <f t="shared" si="31"/>
        <v>3208.3333333333335</v>
      </c>
      <c r="Q52" s="167">
        <f t="shared" si="31"/>
        <v>3208.3333333333335</v>
      </c>
      <c r="R52" s="167">
        <f t="shared" si="31"/>
        <v>3208.3333333333335</v>
      </c>
      <c r="S52" s="167">
        <f t="shared" si="30"/>
        <v>38500</v>
      </c>
      <c r="T52" s="166"/>
      <c r="U52" s="167" t="s">
        <v>200</v>
      </c>
      <c r="V52" s="167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</row>
    <row r="53" spans="1:67" s="199" customFormat="1" ht="21" hidden="1" outlineLevel="1">
      <c r="A53" s="210"/>
      <c r="B53" s="196"/>
      <c r="C53" s="163"/>
      <c r="D53" s="163"/>
      <c r="E53" s="163"/>
      <c r="F53" s="163"/>
      <c r="G53" s="167"/>
      <c r="H53" s="167"/>
      <c r="I53" s="167"/>
      <c r="J53" s="167"/>
      <c r="K53" s="167"/>
      <c r="L53" s="167">
        <v>1500</v>
      </c>
      <c r="M53" s="167">
        <v>1500</v>
      </c>
      <c r="N53" s="167">
        <v>1500</v>
      </c>
      <c r="O53" s="167">
        <v>1500</v>
      </c>
      <c r="P53" s="167">
        <v>1500</v>
      </c>
      <c r="Q53" s="167">
        <v>1500</v>
      </c>
      <c r="R53" s="167">
        <v>1500</v>
      </c>
      <c r="S53" s="167">
        <f t="shared" si="30"/>
        <v>10500</v>
      </c>
      <c r="T53" s="166"/>
      <c r="U53" s="167" t="s">
        <v>205</v>
      </c>
      <c r="V53" s="16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</row>
    <row r="54" spans="1:67" ht="21"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/>
      <c r="AO54" s="148"/>
      <c r="AP54" s="148"/>
      <c r="AQ54" s="148"/>
      <c r="AR54" s="148"/>
      <c r="AS54" s="148"/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</row>
    <row r="55" spans="1:67" ht="21">
      <c r="P55" s="214" t="s">
        <v>237</v>
      </c>
      <c r="R55" s="215"/>
      <c r="S55" s="216">
        <f>SUM(S5,S6,S7,S9,S10,S12,S18,S20,S21,S22,S23,S24)</f>
        <v>953650</v>
      </c>
      <c r="T55" s="217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  <c r="AK55" s="148"/>
      <c r="AL55" s="148"/>
      <c r="AM55" s="148"/>
      <c r="AN55" s="148"/>
      <c r="AO55" s="148"/>
      <c r="AP55" s="148"/>
      <c r="AQ55" s="148"/>
      <c r="AR55" s="148"/>
      <c r="AS55" s="148"/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</row>
    <row r="56" spans="1:67" ht="21">
      <c r="Q56" s="215"/>
      <c r="R56" s="215"/>
      <c r="S56" s="215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BE928-2593-472C-810D-02E7CD05331F}">
  <dimension ref="A1:L10"/>
  <sheetViews>
    <sheetView workbookViewId="0">
      <selection activeCell="K11" sqref="K11"/>
    </sheetView>
  </sheetViews>
  <sheetFormatPr defaultRowHeight="13.2"/>
  <cols>
    <col min="1" max="1" width="12.44140625" customWidth="1"/>
    <col min="2" max="2" width="13.77734375" customWidth="1"/>
    <col min="3" max="3" width="13.109375" customWidth="1"/>
    <col min="4" max="4" width="21.33203125" customWidth="1"/>
    <col min="5" max="5" width="14.21875" customWidth="1"/>
    <col min="6" max="7" width="10.44140625" bestFit="1" customWidth="1"/>
    <col min="8" max="8" width="11.44140625" bestFit="1" customWidth="1"/>
    <col min="9" max="9" width="13.21875" style="255" customWidth="1"/>
    <col min="10" max="10" width="10.33203125" customWidth="1"/>
    <col min="11" max="11" width="11" customWidth="1"/>
    <col min="12" max="12" width="10.21875" bestFit="1" customWidth="1"/>
  </cols>
  <sheetData>
    <row r="1" spans="1:12" s="119" customFormat="1" ht="14.4">
      <c r="A1" s="119" t="s">
        <v>266</v>
      </c>
      <c r="B1" s="119" t="s">
        <v>267</v>
      </c>
      <c r="C1" s="119" t="s">
        <v>268</v>
      </c>
      <c r="D1" s="119" t="s">
        <v>269</v>
      </c>
      <c r="E1" s="119" t="s">
        <v>270</v>
      </c>
      <c r="F1" s="119" t="s">
        <v>247</v>
      </c>
      <c r="G1" s="119" t="s">
        <v>271</v>
      </c>
      <c r="H1" s="119" t="s">
        <v>272</v>
      </c>
      <c r="I1" s="254" t="s">
        <v>273</v>
      </c>
      <c r="J1" s="119" t="s">
        <v>274</v>
      </c>
      <c r="K1" s="119" t="s">
        <v>275</v>
      </c>
      <c r="L1" s="119" t="s">
        <v>276</v>
      </c>
    </row>
    <row r="2" spans="1:12">
      <c r="A2" t="s">
        <v>277</v>
      </c>
      <c r="B2" s="255">
        <v>58000</v>
      </c>
      <c r="C2" s="255">
        <v>4833.33</v>
      </c>
      <c r="D2" s="255">
        <f>SUM(C2*0.083)</f>
        <v>401.16639000000004</v>
      </c>
      <c r="E2" s="120">
        <f>SUM(C2:D2)</f>
        <v>5234.4963900000002</v>
      </c>
      <c r="F2" s="120">
        <f>SUM(E2*0.1)</f>
        <v>523.44963900000005</v>
      </c>
      <c r="G2" s="120">
        <f>SUM(E2*0.1)</f>
        <v>523.44963900000005</v>
      </c>
      <c r="H2" s="120">
        <f>SUM(E2*0.8)</f>
        <v>4187.5971120000004</v>
      </c>
    </row>
    <row r="3" spans="1:12">
      <c r="A3" t="s">
        <v>278</v>
      </c>
      <c r="B3" s="255">
        <v>75000</v>
      </c>
      <c r="C3" s="255">
        <v>6250</v>
      </c>
      <c r="D3" s="255">
        <f t="shared" ref="D3:D7" si="0">SUM(C3*0.083)</f>
        <v>518.75</v>
      </c>
      <c r="E3" s="120">
        <f t="shared" ref="E3:E7" si="1">SUM(C3:D3)</f>
        <v>6768.75</v>
      </c>
      <c r="F3" s="120">
        <f>SUM(E3*0.1)</f>
        <v>676.875</v>
      </c>
      <c r="G3" s="120">
        <f>SUM(E3*0.1)</f>
        <v>676.875</v>
      </c>
      <c r="H3" s="120">
        <f>SUM(E3*0.8)</f>
        <v>5415</v>
      </c>
    </row>
    <row r="4" spans="1:12">
      <c r="A4" t="s">
        <v>279</v>
      </c>
      <c r="B4" s="255">
        <v>50486</v>
      </c>
      <c r="C4" s="255">
        <v>4207.17</v>
      </c>
      <c r="D4" s="255">
        <f t="shared" si="0"/>
        <v>349.19511</v>
      </c>
      <c r="E4" s="120">
        <f t="shared" si="1"/>
        <v>4556.3651099999997</v>
      </c>
      <c r="G4" s="120">
        <f>SUM(E4*0.8)</f>
        <v>3645.0920879999999</v>
      </c>
      <c r="H4" s="120">
        <f>SUM(E4*0.2)</f>
        <v>911.27302199999997</v>
      </c>
    </row>
    <row r="5" spans="1:12">
      <c r="A5" t="s">
        <v>280</v>
      </c>
      <c r="B5" s="255">
        <v>54000</v>
      </c>
      <c r="C5" s="255">
        <v>4500</v>
      </c>
      <c r="D5" s="255">
        <f t="shared" si="0"/>
        <v>373.5</v>
      </c>
      <c r="E5" s="120">
        <f t="shared" si="1"/>
        <v>4873.5</v>
      </c>
      <c r="G5" s="120"/>
      <c r="H5" s="120"/>
      <c r="I5" s="255">
        <v>4873.5</v>
      </c>
      <c r="J5" s="120">
        <f>SUM(E5*0.3)</f>
        <v>1462.05</v>
      </c>
      <c r="K5" s="255">
        <v>0</v>
      </c>
      <c r="L5" s="255">
        <v>3411.45</v>
      </c>
    </row>
    <row r="6" spans="1:12">
      <c r="A6" t="s">
        <v>281</v>
      </c>
      <c r="B6" s="255">
        <v>6240</v>
      </c>
      <c r="C6" s="255">
        <v>520</v>
      </c>
      <c r="D6" s="255">
        <f t="shared" si="0"/>
        <v>43.160000000000004</v>
      </c>
      <c r="E6" s="120">
        <f t="shared" si="1"/>
        <v>563.16</v>
      </c>
      <c r="G6" s="120">
        <f>SUM(E6*0.5)</f>
        <v>281.58</v>
      </c>
      <c r="H6" s="120">
        <f>SUM(E6*0.5)</f>
        <v>281.58</v>
      </c>
    </row>
    <row r="7" spans="1:12">
      <c r="D7" s="255">
        <f t="shared" si="0"/>
        <v>0</v>
      </c>
      <c r="E7" s="120">
        <f t="shared" si="1"/>
        <v>0</v>
      </c>
    </row>
    <row r="8" spans="1:12" s="119" customFormat="1" ht="14.4">
      <c r="B8" s="256">
        <f>SUM(B2:B6)</f>
        <v>243726</v>
      </c>
      <c r="C8" s="256">
        <f t="shared" ref="C8:H8" si="2">SUM(C2:C7)</f>
        <v>20310.5</v>
      </c>
      <c r="D8" s="256">
        <f t="shared" si="2"/>
        <v>1685.7715000000001</v>
      </c>
      <c r="E8" s="256">
        <f t="shared" si="2"/>
        <v>21996.271499999999</v>
      </c>
      <c r="F8" s="254">
        <f t="shared" si="2"/>
        <v>1200.3246389999999</v>
      </c>
      <c r="G8" s="256">
        <f t="shared" si="2"/>
        <v>5126.9967269999997</v>
      </c>
      <c r="H8" s="256">
        <f t="shared" si="2"/>
        <v>10795.450133999999</v>
      </c>
      <c r="I8" s="254"/>
    </row>
    <row r="9" spans="1:12" ht="14.4">
      <c r="E9" s="119" t="s">
        <v>282</v>
      </c>
      <c r="F9" s="119"/>
      <c r="G9" s="256">
        <f>SUM(G8+K5)</f>
        <v>5126.9967269999997</v>
      </c>
      <c r="H9" s="256">
        <f>SUM(H8+I5)</f>
        <v>15668.950133999999</v>
      </c>
    </row>
    <row r="10" spans="1:12" ht="14.4">
      <c r="E10" s="119" t="s">
        <v>283</v>
      </c>
      <c r="F10" s="119"/>
      <c r="G10" s="256">
        <f>SUM(G8+L5-G4)</f>
        <v>4893.3546389999992</v>
      </c>
      <c r="H10" s="256">
        <f>SUM(H8+J5)</f>
        <v>12257.500133999998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72"/>
  <sheetViews>
    <sheetView topLeftCell="A22" zoomScale="70" zoomScaleNormal="70" workbookViewId="0">
      <selection activeCell="B56" sqref="B56:M65"/>
    </sheetView>
  </sheetViews>
  <sheetFormatPr defaultRowHeight="13.2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85"/>
    <col min="14" max="14" width="11.33203125" customWidth="1"/>
    <col min="15" max="15" width="8.6640625" style="85" customWidth="1"/>
    <col min="16" max="16" width="9.109375"/>
  </cols>
  <sheetData>
    <row r="1" spans="1:16">
      <c r="A1" s="39"/>
      <c r="B1" s="40" t="s">
        <v>51</v>
      </c>
      <c r="C1" s="4" t="s">
        <v>120</v>
      </c>
      <c r="D1" s="4" t="s">
        <v>53</v>
      </c>
      <c r="E1" s="4" t="s">
        <v>54</v>
      </c>
      <c r="F1" s="4" t="s">
        <v>55</v>
      </c>
      <c r="G1" s="4" t="s">
        <v>56</v>
      </c>
      <c r="H1" s="4" t="s">
        <v>57</v>
      </c>
      <c r="I1" s="22" t="s">
        <v>58</v>
      </c>
      <c r="J1" s="4" t="s">
        <v>121</v>
      </c>
      <c r="K1" s="4" t="s">
        <v>126</v>
      </c>
      <c r="L1" s="4" t="s">
        <v>122</v>
      </c>
      <c r="M1" s="4" t="s">
        <v>123</v>
      </c>
      <c r="N1" s="85" t="s">
        <v>103</v>
      </c>
      <c r="O1"/>
      <c r="P1" s="85"/>
    </row>
    <row r="2" spans="1:16">
      <c r="A2" s="42" t="s">
        <v>65</v>
      </c>
      <c r="B2" s="47"/>
      <c r="C2" s="23"/>
      <c r="M2"/>
      <c r="N2" s="96"/>
      <c r="O2"/>
    </row>
    <row r="3" spans="1:16">
      <c r="A3" s="46" t="s">
        <v>66</v>
      </c>
      <c r="B3" s="47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96">
        <f t="shared" ref="N3:N66" si="0">SUM(B3:M3)</f>
        <v>0</v>
      </c>
      <c r="O3"/>
    </row>
    <row r="4" spans="1:16">
      <c r="A4" s="46" t="s">
        <v>67</v>
      </c>
      <c r="B4" s="47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96">
        <f t="shared" si="0"/>
        <v>0</v>
      </c>
      <c r="O4"/>
    </row>
    <row r="5" spans="1:16">
      <c r="A5" s="46" t="s">
        <v>68</v>
      </c>
      <c r="B5" s="97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6">
        <f t="shared" si="0"/>
        <v>0</v>
      </c>
      <c r="O5"/>
    </row>
    <row r="6" spans="1:16">
      <c r="A6" s="46" t="s">
        <v>69</v>
      </c>
      <c r="B6" s="47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96">
        <f t="shared" si="0"/>
        <v>0</v>
      </c>
      <c r="O6"/>
    </row>
    <row r="7" spans="1:16">
      <c r="A7" s="46" t="s">
        <v>139</v>
      </c>
      <c r="B7" s="9"/>
      <c r="C7" s="31"/>
      <c r="D7" s="31"/>
      <c r="E7" s="35"/>
      <c r="F7" s="35"/>
      <c r="G7" s="35"/>
      <c r="H7" s="35"/>
      <c r="I7" s="35"/>
      <c r="J7" s="35"/>
      <c r="K7" s="35"/>
      <c r="L7" s="35"/>
      <c r="M7" s="35"/>
      <c r="N7" s="96">
        <f t="shared" si="0"/>
        <v>0</v>
      </c>
      <c r="O7"/>
    </row>
    <row r="8" spans="1:16">
      <c r="A8" s="46" t="s">
        <v>138</v>
      </c>
      <c r="B8" s="9"/>
      <c r="C8" s="31"/>
      <c r="D8" s="31"/>
      <c r="E8" s="35"/>
      <c r="F8" s="35"/>
      <c r="G8" s="35"/>
      <c r="H8" s="35"/>
      <c r="I8" s="35"/>
      <c r="J8" s="35"/>
      <c r="K8" s="35"/>
      <c r="L8" s="35"/>
      <c r="M8" s="35"/>
      <c r="N8" s="96">
        <f t="shared" si="0"/>
        <v>0</v>
      </c>
      <c r="O8"/>
    </row>
    <row r="9" spans="1:16">
      <c r="A9" s="46" t="s">
        <v>140</v>
      </c>
      <c r="B9" s="9"/>
      <c r="C9" s="31"/>
      <c r="D9" s="31"/>
      <c r="E9" s="35"/>
      <c r="F9" s="35"/>
      <c r="G9" s="35"/>
      <c r="H9" s="35"/>
      <c r="I9" s="35"/>
      <c r="J9" s="35"/>
      <c r="K9" s="35"/>
      <c r="L9" s="35"/>
      <c r="M9" s="35"/>
      <c r="N9" s="96">
        <f t="shared" si="0"/>
        <v>0</v>
      </c>
      <c r="O9"/>
    </row>
    <row r="10" spans="1:16">
      <c r="A10" s="136" t="s">
        <v>137</v>
      </c>
      <c r="B10" s="111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96">
        <f t="shared" si="0"/>
        <v>0</v>
      </c>
      <c r="O10"/>
    </row>
    <row r="11" spans="1:16">
      <c r="A11" s="46" t="s">
        <v>130</v>
      </c>
      <c r="B11" s="97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6">
        <f t="shared" si="0"/>
        <v>0</v>
      </c>
      <c r="O11"/>
    </row>
    <row r="12" spans="1:16">
      <c r="A12" s="49" t="s">
        <v>70</v>
      </c>
      <c r="B12" s="47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96">
        <f t="shared" si="0"/>
        <v>0</v>
      </c>
      <c r="O12"/>
    </row>
    <row r="13" spans="1:16">
      <c r="A13" s="49"/>
      <c r="B13" s="50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6">
        <f t="shared" si="0"/>
        <v>0</v>
      </c>
      <c r="O13"/>
    </row>
    <row r="14" spans="1:16">
      <c r="A14" s="52" t="s">
        <v>71</v>
      </c>
      <c r="B14" s="53">
        <f>SUM(B3:B13)</f>
        <v>0</v>
      </c>
      <c r="C14" s="24">
        <f t="shared" ref="C14" si="1">SUM(C3:C13)</f>
        <v>0</v>
      </c>
      <c r="D14" s="24">
        <f t="shared" ref="D14" si="2">SUM(D3:D13)</f>
        <v>0</v>
      </c>
      <c r="E14" s="24">
        <f t="shared" ref="E14" si="3">SUM(E3:E13)</f>
        <v>0</v>
      </c>
      <c r="F14" s="24">
        <f t="shared" ref="F14" si="4">SUM(F3:F13)</f>
        <v>0</v>
      </c>
      <c r="G14" s="24">
        <f t="shared" ref="G14" si="5">SUM(G3:G13)</f>
        <v>0</v>
      </c>
      <c r="H14" s="24">
        <f t="shared" ref="H14" si="6">SUM(H3:H13)</f>
        <v>0</v>
      </c>
      <c r="I14" s="24">
        <f t="shared" ref="I14" si="7">SUM(I3:I13)</f>
        <v>0</v>
      </c>
      <c r="J14" s="24">
        <f t="shared" ref="J14" si="8">SUM(J3:J13)</f>
        <v>0</v>
      </c>
      <c r="K14" s="24">
        <f t="shared" ref="K14:L14" si="9">SUM(K3:K13)</f>
        <v>0</v>
      </c>
      <c r="L14" s="24">
        <f t="shared" si="9"/>
        <v>0</v>
      </c>
      <c r="M14" s="24">
        <f t="shared" ref="M14" si="10">SUM(M3:M13)</f>
        <v>0</v>
      </c>
      <c r="N14" s="96">
        <f t="shared" si="0"/>
        <v>0</v>
      </c>
      <c r="O14"/>
    </row>
    <row r="15" spans="1:16">
      <c r="A15" s="55"/>
      <c r="B15" s="56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96">
        <f t="shared" si="0"/>
        <v>0</v>
      </c>
      <c r="O15"/>
    </row>
    <row r="16" spans="1:16">
      <c r="A16" s="42" t="s">
        <v>72</v>
      </c>
      <c r="B16" s="58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96">
        <f t="shared" si="0"/>
        <v>0</v>
      </c>
      <c r="O16"/>
    </row>
    <row r="17" spans="1:15">
      <c r="A17" s="46" t="s">
        <v>73</v>
      </c>
      <c r="B17" s="47">
        <v>0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96">
        <f t="shared" si="0"/>
        <v>0</v>
      </c>
      <c r="O17"/>
    </row>
    <row r="18" spans="1:15">
      <c r="A18" s="46" t="s">
        <v>74</v>
      </c>
      <c r="B18" s="47">
        <v>0</v>
      </c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96">
        <f t="shared" si="0"/>
        <v>0</v>
      </c>
      <c r="O18"/>
    </row>
    <row r="19" spans="1:15">
      <c r="A19" s="46" t="s">
        <v>75</v>
      </c>
      <c r="B19" s="47">
        <v>0</v>
      </c>
      <c r="C19" s="35">
        <v>0</v>
      </c>
      <c r="D19" s="35">
        <v>0</v>
      </c>
      <c r="E19" s="35">
        <v>0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96">
        <f t="shared" si="0"/>
        <v>0</v>
      </c>
      <c r="O19"/>
    </row>
    <row r="20" spans="1:15">
      <c r="A20" s="46"/>
      <c r="B20" s="50"/>
      <c r="C20" s="99"/>
      <c r="D20" s="99"/>
      <c r="E20" s="99"/>
      <c r="F20" s="99"/>
      <c r="G20" s="99"/>
      <c r="H20" s="99"/>
      <c r="I20" s="106"/>
      <c r="J20" s="106"/>
      <c r="K20" s="106"/>
      <c r="L20" s="106"/>
      <c r="M20" s="106"/>
      <c r="N20" s="96">
        <f t="shared" si="0"/>
        <v>0</v>
      </c>
      <c r="O20"/>
    </row>
    <row r="21" spans="1:15">
      <c r="A21" s="39"/>
      <c r="B21" s="50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6">
        <f t="shared" si="0"/>
        <v>0</v>
      </c>
      <c r="O21"/>
    </row>
    <row r="22" spans="1:15">
      <c r="A22" s="39"/>
      <c r="B22" s="50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6">
        <f t="shared" si="0"/>
        <v>0</v>
      </c>
      <c r="O22"/>
    </row>
    <row r="23" spans="1:15">
      <c r="A23" s="61" t="s">
        <v>76</v>
      </c>
      <c r="B23" s="53">
        <f>SUM(B17:B22)</f>
        <v>0</v>
      </c>
      <c r="C23" s="24">
        <f t="shared" ref="C23" si="11">SUM(C17:C22)</f>
        <v>0</v>
      </c>
      <c r="D23" s="24">
        <f t="shared" ref="D23" si="12">SUM(D17:D22)</f>
        <v>0</v>
      </c>
      <c r="E23" s="24">
        <f t="shared" ref="E23" si="13">SUM(E17:E22)</f>
        <v>0</v>
      </c>
      <c r="F23" s="24">
        <f t="shared" ref="F23" si="14">SUM(F17:F22)</f>
        <v>0</v>
      </c>
      <c r="G23" s="24">
        <f t="shared" ref="G23" si="15">SUM(G17:G22)</f>
        <v>0</v>
      </c>
      <c r="H23" s="24">
        <f t="shared" ref="H23" si="16">SUM(H17:H22)</f>
        <v>0</v>
      </c>
      <c r="I23" s="24">
        <f t="shared" ref="I23" si="17">SUM(I17:I22)</f>
        <v>0</v>
      </c>
      <c r="J23" s="24">
        <f>SUM(J17:J22)</f>
        <v>0</v>
      </c>
      <c r="K23" s="24">
        <f t="shared" ref="K23:L23" si="18">SUM(K17:K22)</f>
        <v>0</v>
      </c>
      <c r="L23" s="24">
        <f t="shared" si="18"/>
        <v>0</v>
      </c>
      <c r="M23" s="24">
        <f t="shared" ref="M23" si="19">SUM(M17:M22)</f>
        <v>0</v>
      </c>
      <c r="N23" s="96">
        <f t="shared" si="0"/>
        <v>0</v>
      </c>
      <c r="O23"/>
    </row>
    <row r="24" spans="1:15">
      <c r="A24" s="55"/>
      <c r="B24" s="6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96">
        <f t="shared" si="0"/>
        <v>0</v>
      </c>
      <c r="O24"/>
    </row>
    <row r="25" spans="1:15">
      <c r="A25" s="61" t="s">
        <v>77</v>
      </c>
      <c r="B25" s="53">
        <f>B14-B23</f>
        <v>0</v>
      </c>
      <c r="C25" s="24">
        <f t="shared" ref="C25:K25" si="20">C14-C23</f>
        <v>0</v>
      </c>
      <c r="D25" s="24">
        <f t="shared" si="20"/>
        <v>0</v>
      </c>
      <c r="E25" s="24">
        <f t="shared" si="20"/>
        <v>0</v>
      </c>
      <c r="F25" s="24">
        <f t="shared" si="20"/>
        <v>0</v>
      </c>
      <c r="G25" s="24">
        <f t="shared" si="20"/>
        <v>0</v>
      </c>
      <c r="H25" s="24">
        <f t="shared" si="20"/>
        <v>0</v>
      </c>
      <c r="I25" s="24">
        <f t="shared" si="20"/>
        <v>0</v>
      </c>
      <c r="J25" s="24">
        <f t="shared" si="20"/>
        <v>0</v>
      </c>
      <c r="K25" s="24">
        <f t="shared" si="20"/>
        <v>0</v>
      </c>
      <c r="L25" s="24">
        <f t="shared" ref="L25:M25" si="21">L14-L23</f>
        <v>0</v>
      </c>
      <c r="M25" s="24">
        <f t="shared" si="21"/>
        <v>0</v>
      </c>
      <c r="N25" s="96">
        <f t="shared" si="0"/>
        <v>0</v>
      </c>
      <c r="O25"/>
    </row>
    <row r="26" spans="1:15">
      <c r="A26" s="46"/>
      <c r="B26" s="62"/>
      <c r="C26" s="102" t="s">
        <v>133</v>
      </c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96">
        <f t="shared" si="0"/>
        <v>0</v>
      </c>
      <c r="O26"/>
    </row>
    <row r="27" spans="1:15">
      <c r="A27" s="42" t="s">
        <v>78</v>
      </c>
      <c r="B27" s="58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96">
        <f t="shared" si="0"/>
        <v>0</v>
      </c>
      <c r="O27"/>
    </row>
    <row r="28" spans="1:15" ht="14.4">
      <c r="A28" s="64" t="s">
        <v>79</v>
      </c>
      <c r="B28" s="50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6">
        <f t="shared" si="0"/>
        <v>0</v>
      </c>
      <c r="O28"/>
    </row>
    <row r="29" spans="1:15">
      <c r="A29" s="46" t="s">
        <v>80</v>
      </c>
      <c r="B29" s="47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96">
        <f t="shared" si="0"/>
        <v>0</v>
      </c>
      <c r="O29"/>
    </row>
    <row r="30" spans="1:15">
      <c r="A30" s="65" t="s">
        <v>81</v>
      </c>
      <c r="B30" s="47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96">
        <f t="shared" si="0"/>
        <v>0</v>
      </c>
      <c r="O30"/>
    </row>
    <row r="31" spans="1:15">
      <c r="A31" s="46" t="s">
        <v>82</v>
      </c>
      <c r="B31" s="97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6">
        <f t="shared" si="0"/>
        <v>0</v>
      </c>
      <c r="O31"/>
    </row>
    <row r="32" spans="1:15">
      <c r="A32" s="46" t="s">
        <v>83</v>
      </c>
      <c r="B32" s="97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6">
        <f t="shared" si="0"/>
        <v>0</v>
      </c>
      <c r="O32"/>
    </row>
    <row r="33" spans="1:15">
      <c r="A33" s="49" t="s">
        <v>84</v>
      </c>
      <c r="B33" s="111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6">
        <f t="shared" si="0"/>
        <v>0</v>
      </c>
      <c r="O33"/>
    </row>
    <row r="34" spans="1:15">
      <c r="A34" s="66" t="s">
        <v>85</v>
      </c>
      <c r="B34" s="47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96">
        <f t="shared" si="0"/>
        <v>0</v>
      </c>
      <c r="O34"/>
    </row>
    <row r="35" spans="1:15">
      <c r="A35" s="46" t="s">
        <v>86</v>
      </c>
      <c r="B35" s="47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96">
        <f t="shared" si="0"/>
        <v>0</v>
      </c>
      <c r="O35"/>
    </row>
    <row r="36" spans="1:15">
      <c r="A36" s="46" t="s">
        <v>87</v>
      </c>
      <c r="B36" s="47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96">
        <f t="shared" si="0"/>
        <v>0</v>
      </c>
      <c r="O36"/>
    </row>
    <row r="37" spans="1:15">
      <c r="A37" s="46" t="s">
        <v>88</v>
      </c>
      <c r="B37" s="47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96">
        <f t="shared" si="0"/>
        <v>0</v>
      </c>
      <c r="O37"/>
    </row>
    <row r="38" spans="1:15">
      <c r="A38" s="46" t="s">
        <v>89</v>
      </c>
      <c r="B38" s="4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96">
        <f t="shared" si="0"/>
        <v>0</v>
      </c>
      <c r="O38"/>
    </row>
    <row r="39" spans="1:15">
      <c r="A39" s="46" t="s">
        <v>90</v>
      </c>
      <c r="B39" s="47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96">
        <f t="shared" si="0"/>
        <v>0</v>
      </c>
      <c r="O39"/>
    </row>
    <row r="40" spans="1:15">
      <c r="A40" s="46" t="s">
        <v>70</v>
      </c>
      <c r="B40" s="67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96">
        <f t="shared" si="0"/>
        <v>0</v>
      </c>
      <c r="O40"/>
    </row>
    <row r="41" spans="1:15" ht="14.4">
      <c r="A41" s="69" t="s">
        <v>91</v>
      </c>
      <c r="B41" s="53">
        <f>SUM(B29:B40)</f>
        <v>0</v>
      </c>
      <c r="C41" s="24">
        <f t="shared" ref="C41" si="22">SUM(C29:C40)</f>
        <v>0</v>
      </c>
      <c r="D41" s="24">
        <f t="shared" ref="D41" si="23">SUM(D29:D40)</f>
        <v>0</v>
      </c>
      <c r="E41" s="24">
        <f t="shared" ref="E41" si="24">SUM(E29:E40)</f>
        <v>0</v>
      </c>
      <c r="F41" s="24">
        <f t="shared" ref="F41" si="25">SUM(F29:F40)</f>
        <v>0</v>
      </c>
      <c r="G41" s="24">
        <f t="shared" ref="G41" si="26">SUM(G29:G40)</f>
        <v>0</v>
      </c>
      <c r="H41" s="24">
        <f t="shared" ref="H41" si="27">SUM(H29:H40)</f>
        <v>0</v>
      </c>
      <c r="I41" s="24">
        <f t="shared" ref="I41" si="28">SUM(I29:I40)</f>
        <v>0</v>
      </c>
      <c r="J41" s="24">
        <f t="shared" ref="J41" si="29">SUM(J29:J40)</f>
        <v>0</v>
      </c>
      <c r="K41" s="24">
        <f t="shared" ref="K41:L41" si="30">SUM(K29:K40)</f>
        <v>0</v>
      </c>
      <c r="L41" s="24">
        <f t="shared" si="30"/>
        <v>0</v>
      </c>
      <c r="M41" s="24">
        <f t="shared" ref="M41" si="31">SUM(M29:M40)</f>
        <v>0</v>
      </c>
      <c r="N41" s="96">
        <f t="shared" si="0"/>
        <v>0</v>
      </c>
      <c r="O41"/>
    </row>
    <row r="42" spans="1:15" ht="14.4">
      <c r="A42" s="69"/>
      <c r="B42" s="50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6">
        <f t="shared" si="0"/>
        <v>0</v>
      </c>
      <c r="O42"/>
    </row>
    <row r="43" spans="1:15" ht="14.4">
      <c r="A43" s="64" t="s">
        <v>119</v>
      </c>
      <c r="B43" s="50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6">
        <f t="shared" si="0"/>
        <v>0</v>
      </c>
      <c r="O43"/>
    </row>
    <row r="44" spans="1:15">
      <c r="A44" s="136" t="s">
        <v>80</v>
      </c>
      <c r="B44" s="47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96">
        <f t="shared" si="0"/>
        <v>0</v>
      </c>
      <c r="O44"/>
    </row>
    <row r="45" spans="1:15">
      <c r="A45" s="46" t="s">
        <v>82</v>
      </c>
      <c r="B45" s="97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6">
        <f t="shared" si="0"/>
        <v>0</v>
      </c>
      <c r="O45"/>
    </row>
    <row r="46" spans="1:15">
      <c r="A46" s="46" t="s">
        <v>70</v>
      </c>
      <c r="B46" s="97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6">
        <f t="shared" si="0"/>
        <v>0</v>
      </c>
      <c r="O46"/>
    </row>
    <row r="47" spans="1:15">
      <c r="A47" s="46" t="s">
        <v>141</v>
      </c>
      <c r="B47" s="9"/>
      <c r="C47" s="31"/>
      <c r="D47" s="31"/>
      <c r="E47" s="35"/>
      <c r="F47" s="35"/>
      <c r="G47" s="35"/>
      <c r="H47" s="35"/>
      <c r="I47" s="35"/>
      <c r="J47" s="35"/>
      <c r="K47" s="35"/>
      <c r="L47" s="35"/>
      <c r="M47" s="35"/>
      <c r="N47" s="96">
        <f t="shared" si="0"/>
        <v>0</v>
      </c>
      <c r="O47"/>
    </row>
    <row r="48" spans="1:15">
      <c r="A48" s="46" t="s">
        <v>142</v>
      </c>
      <c r="B48" s="9"/>
      <c r="C48" s="31"/>
      <c r="D48" s="31"/>
      <c r="E48" s="35"/>
      <c r="F48" s="35"/>
      <c r="G48" s="35"/>
      <c r="H48" s="35"/>
      <c r="I48" s="35"/>
      <c r="J48" s="35"/>
      <c r="K48" s="35"/>
      <c r="L48" s="35"/>
      <c r="M48" s="35"/>
      <c r="N48" s="96">
        <f t="shared" si="0"/>
        <v>0</v>
      </c>
      <c r="O48"/>
    </row>
    <row r="49" spans="1:15">
      <c r="A49" s="46" t="s">
        <v>144</v>
      </c>
      <c r="B49" s="9"/>
      <c r="C49" s="31"/>
      <c r="D49" s="31"/>
      <c r="E49" s="35"/>
      <c r="F49" s="35"/>
      <c r="G49" s="35"/>
      <c r="H49" s="35"/>
      <c r="I49" s="35"/>
      <c r="J49" s="35"/>
      <c r="K49" s="35"/>
      <c r="L49" s="35"/>
      <c r="M49" s="35"/>
      <c r="N49" s="96">
        <f t="shared" si="0"/>
        <v>0</v>
      </c>
      <c r="O49"/>
    </row>
    <row r="50" spans="1:15">
      <c r="A50" s="136" t="s">
        <v>143</v>
      </c>
      <c r="B50" s="111"/>
      <c r="C50" s="106"/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96">
        <f t="shared" si="0"/>
        <v>0</v>
      </c>
      <c r="O50"/>
    </row>
    <row r="51" spans="1:15">
      <c r="A51" s="46" t="s">
        <v>129</v>
      </c>
      <c r="B51" s="97"/>
      <c r="C51" s="98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6">
        <f t="shared" si="0"/>
        <v>0</v>
      </c>
      <c r="O51"/>
    </row>
    <row r="52" spans="1:15">
      <c r="A52" s="46" t="s">
        <v>117</v>
      </c>
      <c r="B52" s="135"/>
      <c r="C52" s="110"/>
      <c r="D52" s="110"/>
      <c r="E52" s="110"/>
      <c r="F52" s="110"/>
      <c r="G52" s="110"/>
      <c r="H52" s="110"/>
      <c r="I52" s="110"/>
      <c r="J52" s="110"/>
      <c r="K52" s="110"/>
      <c r="L52" s="110"/>
      <c r="M52" s="110"/>
      <c r="N52" s="96">
        <f t="shared" si="0"/>
        <v>0</v>
      </c>
      <c r="O52"/>
    </row>
    <row r="53" spans="1:15" ht="14.4">
      <c r="A53" s="72" t="s">
        <v>62</v>
      </c>
      <c r="B53" s="53">
        <f>SUM(B44:B52)</f>
        <v>0</v>
      </c>
      <c r="C53" s="24">
        <f t="shared" ref="C53" si="32">SUM(C44:C52)</f>
        <v>0</v>
      </c>
      <c r="D53" s="24">
        <f t="shared" ref="D53" si="33">SUM(D44:D52)</f>
        <v>0</v>
      </c>
      <c r="E53" s="24">
        <f t="shared" ref="E53" si="34">SUM(E44:E52)</f>
        <v>0</v>
      </c>
      <c r="F53" s="24">
        <f t="shared" ref="F53" si="35">SUM(F44:F52)</f>
        <v>0</v>
      </c>
      <c r="G53" s="24">
        <f t="shared" ref="G53" si="36">SUM(G44:G52)</f>
        <v>0</v>
      </c>
      <c r="H53" s="24">
        <f t="shared" ref="H53" si="37">SUM(H44:H52)</f>
        <v>0</v>
      </c>
      <c r="I53" s="24">
        <f t="shared" ref="I53" si="38">SUM(I44:I52)</f>
        <v>0</v>
      </c>
      <c r="J53" s="24">
        <f t="shared" ref="J53" si="39">SUM(J44:J52)</f>
        <v>0</v>
      </c>
      <c r="K53" s="24">
        <f t="shared" ref="K53:L53" si="40">SUM(K44:K52)</f>
        <v>0</v>
      </c>
      <c r="L53" s="24">
        <f t="shared" si="40"/>
        <v>0</v>
      </c>
      <c r="M53" s="24">
        <f t="shared" ref="M53" si="41">SUM(M44:M52)</f>
        <v>0</v>
      </c>
      <c r="N53" s="96">
        <f t="shared" si="0"/>
        <v>0</v>
      </c>
      <c r="O53"/>
    </row>
    <row r="54" spans="1:15">
      <c r="A54" s="46"/>
      <c r="B54" s="47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96">
        <f t="shared" si="0"/>
        <v>0</v>
      </c>
      <c r="O54"/>
    </row>
    <row r="55" spans="1:15" ht="14.4">
      <c r="A55" s="73" t="s">
        <v>92</v>
      </c>
      <c r="B55" s="47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96">
        <f t="shared" si="0"/>
        <v>0</v>
      </c>
      <c r="O55"/>
    </row>
    <row r="56" spans="1:15">
      <c r="A56" s="46" t="s">
        <v>80</v>
      </c>
      <c r="B56" s="47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96">
        <f t="shared" si="0"/>
        <v>0</v>
      </c>
      <c r="O56"/>
    </row>
    <row r="57" spans="1:15">
      <c r="A57" s="46" t="s">
        <v>81</v>
      </c>
      <c r="B57" s="47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96">
        <f t="shared" si="0"/>
        <v>0</v>
      </c>
      <c r="O57"/>
    </row>
    <row r="58" spans="1:15">
      <c r="A58" s="46" t="s">
        <v>82</v>
      </c>
      <c r="B58" s="47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96">
        <f t="shared" si="0"/>
        <v>0</v>
      </c>
      <c r="O58"/>
    </row>
    <row r="59" spans="1:15">
      <c r="A59" s="46" t="s">
        <v>83</v>
      </c>
      <c r="B59" s="47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96">
        <f t="shared" si="0"/>
        <v>0</v>
      </c>
      <c r="O59"/>
    </row>
    <row r="60" spans="1:15">
      <c r="A60" s="46" t="s">
        <v>90</v>
      </c>
      <c r="B60" s="97"/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6">
        <f t="shared" si="0"/>
        <v>0</v>
      </c>
      <c r="O60"/>
    </row>
    <row r="61" spans="1:15">
      <c r="A61" s="46" t="s">
        <v>93</v>
      </c>
      <c r="B61" s="47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96">
        <f t="shared" si="0"/>
        <v>0</v>
      </c>
      <c r="O61"/>
    </row>
    <row r="62" spans="1:15">
      <c r="A62" s="46" t="s">
        <v>94</v>
      </c>
      <c r="B62" s="97"/>
      <c r="C62" s="98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6">
        <f t="shared" si="0"/>
        <v>0</v>
      </c>
      <c r="O62"/>
    </row>
    <row r="63" spans="1:15">
      <c r="A63" s="46" t="s">
        <v>95</v>
      </c>
      <c r="B63" s="47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96">
        <f t="shared" si="0"/>
        <v>0</v>
      </c>
      <c r="O63"/>
    </row>
    <row r="64" spans="1:15">
      <c r="A64" s="46" t="s">
        <v>96</v>
      </c>
      <c r="B64" s="4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96">
        <f t="shared" si="0"/>
        <v>0</v>
      </c>
      <c r="O64"/>
    </row>
    <row r="65" spans="1:15">
      <c r="A65" s="46" t="s">
        <v>70</v>
      </c>
      <c r="B65" s="67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96">
        <f t="shared" si="0"/>
        <v>0</v>
      </c>
      <c r="O65"/>
    </row>
    <row r="66" spans="1:15" ht="14.4">
      <c r="A66" s="74" t="s">
        <v>62</v>
      </c>
      <c r="B66" s="75">
        <f>SUM(B56:B65)</f>
        <v>0</v>
      </c>
      <c r="C66" s="27">
        <f t="shared" ref="C66" si="42">SUM(C56:C65)</f>
        <v>0</v>
      </c>
      <c r="D66" s="27">
        <f t="shared" ref="D66" si="43">SUM(D56:D65)</f>
        <v>0</v>
      </c>
      <c r="E66" s="27">
        <f t="shared" ref="E66" si="44">SUM(E56:E65)</f>
        <v>0</v>
      </c>
      <c r="F66" s="27">
        <f t="shared" ref="F66" si="45">SUM(F56:F65)</f>
        <v>0</v>
      </c>
      <c r="G66" s="27">
        <f t="shared" ref="G66" si="46">SUM(G56:G65)</f>
        <v>0</v>
      </c>
      <c r="H66" s="27">
        <f t="shared" ref="H66" si="47">SUM(H56:H65)</f>
        <v>0</v>
      </c>
      <c r="I66" s="27">
        <f t="shared" ref="I66" si="48">SUM(I56:I65)</f>
        <v>0</v>
      </c>
      <c r="J66" s="27">
        <f t="shared" ref="J66" si="49">SUM(J56:J65)</f>
        <v>0</v>
      </c>
      <c r="K66" s="27">
        <f t="shared" ref="K66:L66" si="50">SUM(K56:K65)</f>
        <v>0</v>
      </c>
      <c r="L66" s="27">
        <f t="shared" si="50"/>
        <v>0</v>
      </c>
      <c r="M66" s="27">
        <f t="shared" ref="M66" si="51">SUM(M56:M65)</f>
        <v>0</v>
      </c>
      <c r="N66" s="96">
        <f t="shared" si="0"/>
        <v>0</v>
      </c>
    </row>
    <row r="67" spans="1:15">
      <c r="A67" s="66"/>
      <c r="B67" s="47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96">
        <f t="shared" ref="N67" si="52">SUM(B67:M67)</f>
        <v>0</v>
      </c>
    </row>
    <row r="68" spans="1:15">
      <c r="A68" s="76" t="s">
        <v>97</v>
      </c>
      <c r="B68" s="77">
        <f t="shared" ref="B68:K68" si="53">B66+B53+B41</f>
        <v>0</v>
      </c>
      <c r="C68" s="28">
        <f t="shared" si="53"/>
        <v>0</v>
      </c>
      <c r="D68" s="28">
        <f t="shared" si="53"/>
        <v>0</v>
      </c>
      <c r="E68" s="28">
        <f t="shared" si="53"/>
        <v>0</v>
      </c>
      <c r="F68" s="28">
        <f t="shared" si="53"/>
        <v>0</v>
      </c>
      <c r="G68" s="28">
        <f t="shared" si="53"/>
        <v>0</v>
      </c>
      <c r="H68" s="28">
        <f t="shared" si="53"/>
        <v>0</v>
      </c>
      <c r="I68" s="28">
        <f t="shared" si="53"/>
        <v>0</v>
      </c>
      <c r="J68" s="28">
        <f t="shared" si="53"/>
        <v>0</v>
      </c>
      <c r="K68" s="28">
        <f t="shared" si="53"/>
        <v>0</v>
      </c>
      <c r="L68" s="28">
        <f t="shared" ref="L68:M68" si="54">L66+L53+L41</f>
        <v>0</v>
      </c>
      <c r="M68" s="28">
        <f t="shared" si="54"/>
        <v>0</v>
      </c>
      <c r="N68" s="77">
        <f t="shared" ref="N68" si="55">N66+N53+N41</f>
        <v>0</v>
      </c>
      <c r="O68"/>
    </row>
    <row r="69" spans="1:15">
      <c r="A69" s="66"/>
      <c r="B69" s="62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85"/>
      <c r="O69"/>
    </row>
    <row r="70" spans="1:15">
      <c r="A70" s="66"/>
      <c r="B70" s="78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</row>
    <row r="71" spans="1:15" ht="13.8" thickBot="1">
      <c r="A71" s="80" t="s">
        <v>98</v>
      </c>
      <c r="B71" s="81">
        <f t="shared" ref="B71:K71" si="56">B25-B68</f>
        <v>0</v>
      </c>
      <c r="C71" s="30">
        <f t="shared" si="56"/>
        <v>0</v>
      </c>
      <c r="D71" s="30">
        <f t="shared" si="56"/>
        <v>0</v>
      </c>
      <c r="E71" s="30">
        <f t="shared" si="56"/>
        <v>0</v>
      </c>
      <c r="F71" s="30">
        <f t="shared" si="56"/>
        <v>0</v>
      </c>
      <c r="G71" s="30">
        <f t="shared" si="56"/>
        <v>0</v>
      </c>
      <c r="H71" s="30">
        <f t="shared" si="56"/>
        <v>0</v>
      </c>
      <c r="I71" s="30">
        <f t="shared" si="56"/>
        <v>0</v>
      </c>
      <c r="J71" s="30">
        <f t="shared" si="56"/>
        <v>0</v>
      </c>
      <c r="K71" s="30">
        <f t="shared" si="56"/>
        <v>0</v>
      </c>
      <c r="L71" s="30">
        <f t="shared" ref="L71:M71" si="57">L25-L68</f>
        <v>0</v>
      </c>
      <c r="M71" s="30">
        <f t="shared" si="57"/>
        <v>0</v>
      </c>
      <c r="N71" s="81">
        <f t="shared" ref="N71" si="58">N25-N68</f>
        <v>0</v>
      </c>
    </row>
    <row r="72" spans="1:15" ht="13.8" thickTop="1"/>
  </sheetData>
  <pageMargins left="0.7" right="0.7" top="0.75" bottom="0.75" header="0.3" footer="0.3"/>
  <pageSetup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>
      <c r="B1" s="11" t="s">
        <v>114</v>
      </c>
      <c r="C1" s="4"/>
      <c r="D1" s="4"/>
      <c r="E1" s="4" t="s">
        <v>116</v>
      </c>
      <c r="F1" s="4"/>
      <c r="G1" s="4"/>
      <c r="H1" s="4" t="s">
        <v>115</v>
      </c>
    </row>
    <row r="2" spans="1:9">
      <c r="B2" s="18"/>
      <c r="C2" s="19"/>
      <c r="D2" s="4"/>
      <c r="E2" s="19"/>
      <c r="F2" s="19"/>
      <c r="G2" s="4"/>
      <c r="H2" s="19"/>
      <c r="I2" s="20"/>
    </row>
    <row r="3" spans="1:9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>
      <c r="A4" s="11" t="s">
        <v>111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>
      <c r="A5" s="11" t="s">
        <v>112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>
      <c r="A6" s="11" t="s">
        <v>113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>
      <c r="A10" s="21"/>
      <c r="B10" s="21"/>
    </row>
    <row r="12" spans="1:9">
      <c r="A12" s="4"/>
    </row>
  </sheetData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53A289893EFC4986318E93DAEB65E0" ma:contentTypeVersion="11" ma:contentTypeDescription="Create a new document." ma:contentTypeScope="" ma:versionID="25c169f551367b307377462e7e557572">
  <xsd:schema xmlns:xsd="http://www.w3.org/2001/XMLSchema" xmlns:xs="http://www.w3.org/2001/XMLSchema" xmlns:p="http://schemas.microsoft.com/office/2006/metadata/properties" xmlns:ns3="c041fd85-c24b-43c8-bbb4-b2193399eb26" targetNamespace="http://schemas.microsoft.com/office/2006/metadata/properties" ma:root="true" ma:fieldsID="7b52479502f8cbb739a8f2aabd58cfa9" ns3:_="">
    <xsd:import namespace="c041fd85-c24b-43c8-bbb4-b2193399eb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1fd85-c24b-43c8-bbb4-b2193399eb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36FCD3-D981-4386-93A4-05C2BC53F669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c041fd85-c24b-43c8-bbb4-b2193399eb26"/>
  </ds:schemaRefs>
</ds:datastoreItem>
</file>

<file path=customXml/itemProps2.xml><?xml version="1.0" encoding="utf-8"?>
<ds:datastoreItem xmlns:ds="http://schemas.openxmlformats.org/officeDocument/2006/customXml" ds:itemID="{C7B6E916-30C2-4E2D-B5D5-4D78D5B40B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318DCF-E682-4855-A03B-22A338B0A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41fd85-c24b-43c8-bbb4-b2193399eb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Income Statement</vt:lpstr>
      <vt:lpstr>BS</vt:lpstr>
      <vt:lpstr>CF</vt:lpstr>
      <vt:lpstr>BS wrksht</vt:lpstr>
      <vt:lpstr>2026 EXPO P&amp;L</vt:lpstr>
      <vt:lpstr>2026 - Habitat P&amp;L</vt:lpstr>
      <vt:lpstr>Sheet4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2026-01-21T18:27:50Z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0x010100FD53A289893EFC4986318E93DAEB65E0</vt:lpwstr>
  </property>
</Properties>
</file>