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threadedComments/threadedComment1.xml" ContentType="application/vnd.ms-excel.threaded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38522dede8bb9505/Documents/Accounting/2026/"/>
    </mc:Choice>
  </mc:AlternateContent>
  <xr:revisionPtr revIDLastSave="79" documentId="8_{685BCB1E-B386-4670-9A3F-16D9E70426DD}" xr6:coauthVersionLast="47" xr6:coauthVersionMax="47" xr10:uidLastSave="{8320A864-E4E5-43A1-82BF-DE7C9E19D09B}"/>
  <bookViews>
    <workbookView xWindow="-108" yWindow="-108" windowWidth="23256" windowHeight="13896" tabRatio="844" xr2:uid="{00000000-000D-0000-FFFF-FFFF00000000}"/>
  </bookViews>
  <sheets>
    <sheet name="Income Statement" sheetId="4" r:id="rId1"/>
    <sheet name="BS" sheetId="1" r:id="rId2"/>
    <sheet name="CF" sheetId="2" r:id="rId3"/>
    <sheet name="BS wrksht" sheetId="3" r:id="rId4"/>
    <sheet name="2026 EXPO P&amp;L" sheetId="19" r:id="rId5"/>
    <sheet name="2026 - Habitat P&amp;L" sheetId="20" r:id="rId6"/>
    <sheet name="Salaries" sheetId="22" r:id="rId7"/>
    <sheet name="Events" sheetId="23" r:id="rId8"/>
    <sheet name="P&amp;L Monthly Totals" sheetId="5" r:id="rId9"/>
    <sheet name="2011 VS 2012 by Class" sheetId="6" state="hidden" r:id="rId10"/>
  </sheets>
  <externalReferences>
    <externalReference r:id="rId11"/>
  </externalReferences>
  <definedNames>
    <definedName name="LOCAL_MYSQL_DATE_FORMAT" localSheetId="4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_xlnm.Print_Area" localSheetId="1">BS!$E$4:$V$50</definedName>
    <definedName name="_xlnm.Print_Area" localSheetId="3">'BS wrksht'!$A$1:$P$29</definedName>
    <definedName name="_xlnm.Print_Area" localSheetId="2">CF!$A$4:$S$33</definedName>
    <definedName name="_xlnm.Print_Area" localSheetId="0">'Income Statement'!$A$1:$P$77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1">BS!$E$3:$M$51</definedName>
    <definedName name="Report" localSheetId="1">BS!$A$3:$M$51</definedName>
    <definedName name="rptacctidend" localSheetId="1">" "</definedName>
    <definedName name="rptacctidstart" localSheetId="1">" "</definedName>
    <definedName name="rptcurr1" localSheetId="1">"     "</definedName>
    <definedName name="rptcurr10" localSheetId="1">" "</definedName>
    <definedName name="rptcurr2" localSheetId="1">"  "</definedName>
    <definedName name="rptcurr3" localSheetId="1">"   "</definedName>
    <definedName name="rptcurr4" localSheetId="1">" "</definedName>
    <definedName name="rptcurr5" localSheetId="1">" "</definedName>
    <definedName name="rptcurr6" localSheetId="1">" "</definedName>
    <definedName name="rptcurr7" localSheetId="1">" "</definedName>
    <definedName name="rptcurr8" localSheetId="1">" "</definedName>
    <definedName name="rptcurr9" localSheetId="1">" "</definedName>
    <definedName name="rptgroupend" localSheetId="1">16</definedName>
    <definedName name="rptgroupstart" localSheetId="1">1</definedName>
    <definedName name="rptorderby" localSheetId="1">2</definedName>
    <definedName name="rptorderbysegid" localSheetId="1">1</definedName>
    <definedName name="rptperiod" localSheetId="1">5</definedName>
    <definedName name="rptprovtype" localSheetId="1">1</definedName>
    <definedName name="rptsegend1" localSheetId="1">"ZZZZZ"</definedName>
    <definedName name="rptsegend10" localSheetId="1">" "</definedName>
    <definedName name="rptsegend2" localSheetId="1">"ZZ"</definedName>
    <definedName name="rptsegend3" localSheetId="1">"ZZZ"</definedName>
    <definedName name="rptsegend4" localSheetId="1">" "</definedName>
    <definedName name="rptsegend5" localSheetId="1">" "</definedName>
    <definedName name="rptsegend6" localSheetId="1">" "</definedName>
    <definedName name="rptsegend7" localSheetId="1">" "</definedName>
    <definedName name="rptsegend8" localSheetId="1">" "</definedName>
    <definedName name="rptsegend9" localSheetId="1">" "</definedName>
    <definedName name="rptsegoption1" localSheetId="1">1</definedName>
    <definedName name="rptsegoption10" localSheetId="1">0</definedName>
    <definedName name="rptsegoption2" localSheetId="1">1</definedName>
    <definedName name="rptsegoption3" localSheetId="1">1</definedName>
    <definedName name="rptsegoption4" localSheetId="1">0</definedName>
    <definedName name="rptsegoption5" localSheetId="1">0</definedName>
    <definedName name="rptsegoption6" localSheetId="1">0</definedName>
    <definedName name="rptsegoption7" localSheetId="1">0</definedName>
    <definedName name="rptsegoption8" localSheetId="1">0</definedName>
    <definedName name="rptsegoption9" localSheetId="1">0</definedName>
    <definedName name="rptsegstart1" localSheetId="1">" "</definedName>
    <definedName name="rptsegstart10" localSheetId="1">" "</definedName>
    <definedName name="rptsegstart2" localSheetId="1">"  "</definedName>
    <definedName name="rptsegstart3" localSheetId="1">"   "</definedName>
    <definedName name="rptsegstart4" localSheetId="1">" "</definedName>
    <definedName name="rptsegstart5" localSheetId="1">" "</definedName>
    <definedName name="rptsegstart6" localSheetId="1">" "</definedName>
    <definedName name="rptsegstart7" localSheetId="1">" "</definedName>
    <definedName name="rptsegstart8" localSheetId="1">" "</definedName>
    <definedName name="rptsegstart9" localSheetId="1">" "</definedName>
    <definedName name="rptyear" localSheetId="1">2009</definedName>
    <definedName name="Spec" localSheetId="1">BS!#REF!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3" i="23" l="1"/>
  <c r="D34" i="23" s="1"/>
  <c r="D26" i="23"/>
  <c r="E24" i="23"/>
  <c r="D24" i="23"/>
  <c r="E23" i="23"/>
  <c r="F23" i="23" s="1"/>
  <c r="E22" i="23"/>
  <c r="F22" i="23" s="1"/>
  <c r="E21" i="23"/>
  <c r="F21" i="23" s="1"/>
  <c r="E20" i="23"/>
  <c r="F20" i="23" s="1"/>
  <c r="E19" i="23"/>
  <c r="F19" i="23" s="1"/>
  <c r="E18" i="23"/>
  <c r="F18" i="23" s="1"/>
  <c r="E17" i="23"/>
  <c r="F17" i="23" s="1"/>
  <c r="E16" i="23"/>
  <c r="F16" i="23" s="1"/>
  <c r="E15" i="23"/>
  <c r="F15" i="23" s="1"/>
  <c r="E14" i="23"/>
  <c r="F14" i="23" s="1"/>
  <c r="E13" i="23"/>
  <c r="F13" i="23" s="1"/>
  <c r="E12" i="23"/>
  <c r="F12" i="23" s="1"/>
  <c r="E11" i="23"/>
  <c r="F11" i="23" s="1"/>
  <c r="E10" i="23"/>
  <c r="F10" i="23" s="1"/>
  <c r="E9" i="23"/>
  <c r="F9" i="23" s="1"/>
  <c r="E8" i="23"/>
  <c r="F8" i="23" s="1"/>
  <c r="E7" i="23"/>
  <c r="F7" i="23" s="1"/>
  <c r="E6" i="23"/>
  <c r="F6" i="23" s="1"/>
  <c r="E5" i="23"/>
  <c r="F5" i="23" s="1"/>
  <c r="E4" i="23"/>
  <c r="F4" i="23" s="1"/>
  <c r="E3" i="23"/>
  <c r="F3" i="23" s="1"/>
  <c r="E2" i="23"/>
  <c r="F2" i="23" s="1"/>
  <c r="F24" i="23" l="1"/>
  <c r="F12" i="22" l="1"/>
  <c r="B12" i="22"/>
  <c r="S17" i="1"/>
  <c r="S53" i="20" l="1"/>
  <c r="R52" i="20"/>
  <c r="Q52" i="20"/>
  <c r="P52" i="20"/>
  <c r="O52" i="20"/>
  <c r="N52" i="20"/>
  <c r="M52" i="20"/>
  <c r="L52" i="20"/>
  <c r="K52" i="20"/>
  <c r="J52" i="20"/>
  <c r="I52" i="20"/>
  <c r="H52" i="20"/>
  <c r="G52" i="20"/>
  <c r="S52" i="20" s="1"/>
  <c r="R51" i="20"/>
  <c r="Q51" i="20"/>
  <c r="P51" i="20"/>
  <c r="O51" i="20"/>
  <c r="N51" i="20"/>
  <c r="M51" i="20"/>
  <c r="L51" i="20"/>
  <c r="K51" i="20"/>
  <c r="J51" i="20"/>
  <c r="I51" i="20"/>
  <c r="H51" i="20"/>
  <c r="G51" i="20"/>
  <c r="S51" i="20" s="1"/>
  <c r="R50" i="20"/>
  <c r="Q50" i="20"/>
  <c r="P50" i="20"/>
  <c r="O50" i="20"/>
  <c r="O48" i="20" s="1"/>
  <c r="N50" i="20"/>
  <c r="M50" i="20"/>
  <c r="M48" i="20" s="1"/>
  <c r="L50" i="20"/>
  <c r="K50" i="20"/>
  <c r="J50" i="20"/>
  <c r="I50" i="20"/>
  <c r="I48" i="20" s="1"/>
  <c r="H50" i="20"/>
  <c r="G50" i="20"/>
  <c r="S50" i="20" s="1"/>
  <c r="S49" i="20"/>
  <c r="R49" i="20"/>
  <c r="Q49" i="20"/>
  <c r="Q48" i="20" s="1"/>
  <c r="P49" i="20"/>
  <c r="O49" i="20"/>
  <c r="N49" i="20"/>
  <c r="N48" i="20" s="1"/>
  <c r="M49" i="20"/>
  <c r="L49" i="20"/>
  <c r="L48" i="20" s="1"/>
  <c r="K49" i="20"/>
  <c r="K48" i="20" s="1"/>
  <c r="J49" i="20"/>
  <c r="J48" i="20" s="1"/>
  <c r="I49" i="20"/>
  <c r="H49" i="20"/>
  <c r="H48" i="20" s="1"/>
  <c r="G49" i="20"/>
  <c r="G48" i="20" s="1"/>
  <c r="R48" i="20"/>
  <c r="P48" i="20"/>
  <c r="S47" i="20"/>
  <c r="S46" i="20"/>
  <c r="S45" i="20"/>
  <c r="S44" i="20"/>
  <c r="S43" i="20"/>
  <c r="S42" i="20"/>
  <c r="S41" i="20"/>
  <c r="S40" i="20"/>
  <c r="S39" i="20"/>
  <c r="S38" i="20"/>
  <c r="S37" i="20"/>
  <c r="S36" i="20"/>
  <c r="S35" i="20"/>
  <c r="R34" i="20"/>
  <c r="R33" i="20" s="1"/>
  <c r="R26" i="20" s="1"/>
  <c r="Q34" i="20"/>
  <c r="Q33" i="20" s="1"/>
  <c r="P34" i="20"/>
  <c r="S34" i="20" s="1"/>
  <c r="O34" i="20"/>
  <c r="N34" i="20"/>
  <c r="N33" i="20" s="1"/>
  <c r="M34" i="20"/>
  <c r="L34" i="20"/>
  <c r="L33" i="20" s="1"/>
  <c r="K34" i="20"/>
  <c r="K33" i="20" s="1"/>
  <c r="J34" i="20"/>
  <c r="J33" i="20" s="1"/>
  <c r="I34" i="20"/>
  <c r="H34" i="20"/>
  <c r="H33" i="20" s="1"/>
  <c r="G34" i="20"/>
  <c r="G33" i="20" s="1"/>
  <c r="O33" i="20"/>
  <c r="M33" i="20"/>
  <c r="I33" i="20"/>
  <c r="S32" i="20"/>
  <c r="S31" i="20"/>
  <c r="S30" i="20"/>
  <c r="S29" i="20"/>
  <c r="S28" i="20"/>
  <c r="S27" i="20"/>
  <c r="R27" i="20"/>
  <c r="Q27" i="20"/>
  <c r="P27" i="20"/>
  <c r="O27" i="20"/>
  <c r="N27" i="20"/>
  <c r="M27" i="20"/>
  <c r="L27" i="20"/>
  <c r="K27" i="20"/>
  <c r="J27" i="20"/>
  <c r="I27" i="20"/>
  <c r="H27" i="20"/>
  <c r="G27" i="20"/>
  <c r="S24" i="20"/>
  <c r="R23" i="20"/>
  <c r="S23" i="20" s="1"/>
  <c r="Q23" i="20"/>
  <c r="P23" i="20"/>
  <c r="O23" i="20"/>
  <c r="N23" i="20"/>
  <c r="M23" i="20"/>
  <c r="L23" i="20"/>
  <c r="L19" i="20" s="1"/>
  <c r="K23" i="20"/>
  <c r="J23" i="20"/>
  <c r="I23" i="20"/>
  <c r="H23" i="20"/>
  <c r="G23" i="20"/>
  <c r="R22" i="20"/>
  <c r="Q22" i="20"/>
  <c r="S22" i="20" s="1"/>
  <c r="P22" i="20"/>
  <c r="O22" i="20"/>
  <c r="N22" i="20"/>
  <c r="M22" i="20"/>
  <c r="L22" i="20"/>
  <c r="K22" i="20"/>
  <c r="J22" i="20"/>
  <c r="I22" i="20"/>
  <c r="H22" i="20"/>
  <c r="G22" i="20"/>
  <c r="R21" i="20"/>
  <c r="Q21" i="20"/>
  <c r="P21" i="20"/>
  <c r="S21" i="20" s="1"/>
  <c r="O21" i="20"/>
  <c r="N21" i="20"/>
  <c r="M21" i="20"/>
  <c r="L21" i="20"/>
  <c r="K21" i="20"/>
  <c r="J21" i="20"/>
  <c r="I21" i="20"/>
  <c r="H21" i="20"/>
  <c r="H19" i="20" s="1"/>
  <c r="G21" i="20"/>
  <c r="R20" i="20"/>
  <c r="R19" i="20" s="1"/>
  <c r="Q20" i="20"/>
  <c r="Q19" i="20" s="1"/>
  <c r="P20" i="20"/>
  <c r="P19" i="20" s="1"/>
  <c r="O20" i="20"/>
  <c r="S20" i="20" s="1"/>
  <c r="N20" i="20"/>
  <c r="M20" i="20"/>
  <c r="M19" i="20" s="1"/>
  <c r="L20" i="20"/>
  <c r="K20" i="20"/>
  <c r="K19" i="20" s="1"/>
  <c r="J20" i="20"/>
  <c r="J19" i="20" s="1"/>
  <c r="I20" i="20"/>
  <c r="I19" i="20" s="1"/>
  <c r="H20" i="20"/>
  <c r="G20" i="20"/>
  <c r="G19" i="20" s="1"/>
  <c r="N19" i="20"/>
  <c r="F19" i="20"/>
  <c r="E19" i="20"/>
  <c r="D19" i="20"/>
  <c r="C19" i="20"/>
  <c r="S18" i="20"/>
  <c r="R17" i="20"/>
  <c r="S17" i="20" s="1"/>
  <c r="Q17" i="20"/>
  <c r="P17" i="20"/>
  <c r="O17" i="20"/>
  <c r="N17" i="20"/>
  <c r="M17" i="20"/>
  <c r="L17" i="20"/>
  <c r="K17" i="20"/>
  <c r="J17" i="20"/>
  <c r="I17" i="20"/>
  <c r="H17" i="20"/>
  <c r="G17" i="20"/>
  <c r="F17" i="20"/>
  <c r="E17" i="20"/>
  <c r="D17" i="20"/>
  <c r="C17" i="20"/>
  <c r="S16" i="20"/>
  <c r="S15" i="20"/>
  <c r="S14" i="20"/>
  <c r="S13" i="20"/>
  <c r="S12" i="20"/>
  <c r="S11" i="20"/>
  <c r="S10" i="20"/>
  <c r="S9" i="20"/>
  <c r="R8" i="20"/>
  <c r="Q8" i="20"/>
  <c r="P8" i="20"/>
  <c r="O8" i="20"/>
  <c r="N8" i="20"/>
  <c r="M8" i="20"/>
  <c r="L8" i="20"/>
  <c r="K8" i="20"/>
  <c r="J8" i="20"/>
  <c r="I8" i="20"/>
  <c r="H8" i="20"/>
  <c r="G8" i="20"/>
  <c r="F8" i="20"/>
  <c r="E8" i="20"/>
  <c r="D8" i="20"/>
  <c r="C8" i="20"/>
  <c r="S7" i="20"/>
  <c r="S6" i="20"/>
  <c r="S4" i="20"/>
  <c r="R3" i="20"/>
  <c r="Q3" i="20"/>
  <c r="P3" i="20"/>
  <c r="O3" i="20"/>
  <c r="N3" i="20"/>
  <c r="M3" i="20"/>
  <c r="L3" i="20"/>
  <c r="K3" i="20"/>
  <c r="J3" i="20"/>
  <c r="I3" i="20"/>
  <c r="H3" i="20"/>
  <c r="G3" i="20"/>
  <c r="F3" i="20"/>
  <c r="E3" i="20"/>
  <c r="D3" i="20"/>
  <c r="C3" i="20"/>
  <c r="L2" i="20" l="1"/>
  <c r="N2" i="20"/>
  <c r="H26" i="20"/>
  <c r="I26" i="20"/>
  <c r="H2" i="20"/>
  <c r="S3" i="20"/>
  <c r="S8" i="20"/>
  <c r="J2" i="20"/>
  <c r="P2" i="20"/>
  <c r="Q2" i="20"/>
  <c r="R2" i="20"/>
  <c r="I2" i="20"/>
  <c r="K2" i="20"/>
  <c r="M2" i="20"/>
  <c r="Q26" i="20"/>
  <c r="G26" i="20"/>
  <c r="M26" i="20"/>
  <c r="S48" i="20"/>
  <c r="G2" i="20"/>
  <c r="N26" i="20"/>
  <c r="O26" i="20"/>
  <c r="S55" i="20"/>
  <c r="J26" i="20"/>
  <c r="K26" i="20"/>
  <c r="L26" i="20"/>
  <c r="O19" i="20"/>
  <c r="O2" i="20" s="1"/>
  <c r="P33" i="20"/>
  <c r="P26" i="20" s="1"/>
  <c r="S26" i="20" l="1"/>
  <c r="S19" i="20"/>
  <c r="S2" i="20" s="1"/>
  <c r="S33" i="20"/>
  <c r="H18" i="2" l="1"/>
  <c r="I18" i="2"/>
  <c r="J18" i="2"/>
  <c r="K18" i="2"/>
  <c r="L18" i="2"/>
  <c r="M18" i="2"/>
  <c r="N18" i="2"/>
  <c r="O18" i="2"/>
  <c r="P18" i="2"/>
  <c r="Q18" i="2"/>
  <c r="R18" i="2"/>
  <c r="G18" i="2"/>
  <c r="J46" i="1"/>
  <c r="K35" i="1"/>
  <c r="K17" i="1" l="1"/>
  <c r="L17" i="1" s="1"/>
  <c r="M17" i="1" s="1"/>
  <c r="N17" i="1" s="1"/>
  <c r="O17" i="1" s="1"/>
  <c r="P17" i="1" s="1"/>
  <c r="Q17" i="1" s="1"/>
  <c r="R17" i="1" s="1"/>
  <c r="T17" i="1" s="1"/>
  <c r="U17" i="1" s="1"/>
  <c r="V17" i="1" s="1"/>
  <c r="P19" i="19" l="1"/>
  <c r="Q16" i="19"/>
  <c r="J16" i="19"/>
  <c r="H16" i="19"/>
  <c r="G16" i="19"/>
  <c r="E16" i="19"/>
  <c r="P15" i="19"/>
  <c r="P14" i="19"/>
  <c r="P13" i="19"/>
  <c r="P12" i="19"/>
  <c r="P11" i="19"/>
  <c r="P10" i="19"/>
  <c r="P9" i="19"/>
  <c r="P8" i="19"/>
  <c r="O8" i="19"/>
  <c r="N8" i="19"/>
  <c r="M8" i="19"/>
  <c r="L8" i="19"/>
  <c r="L16" i="19" s="1"/>
  <c r="K8" i="19"/>
  <c r="J8" i="19"/>
  <c r="I8" i="19"/>
  <c r="H8" i="19"/>
  <c r="G8" i="19"/>
  <c r="F8" i="19"/>
  <c r="E8" i="19"/>
  <c r="D8" i="19"/>
  <c r="P7" i="19"/>
  <c r="F6" i="19"/>
  <c r="F2" i="19" s="1"/>
  <c r="F16" i="19" s="1"/>
  <c r="P5" i="19"/>
  <c r="P4" i="19"/>
  <c r="P3" i="19"/>
  <c r="O2" i="19"/>
  <c r="O16" i="19" s="1"/>
  <c r="N2" i="19"/>
  <c r="N16" i="19" s="1"/>
  <c r="M2" i="19"/>
  <c r="M16" i="19" s="1"/>
  <c r="L2" i="19"/>
  <c r="K2" i="19"/>
  <c r="K16" i="19" s="1"/>
  <c r="J2" i="19"/>
  <c r="I2" i="19"/>
  <c r="I16" i="19" s="1"/>
  <c r="H2" i="19"/>
  <c r="G2" i="19"/>
  <c r="E2" i="19"/>
  <c r="D2" i="19"/>
  <c r="D16" i="19" s="1"/>
  <c r="P6" i="19" l="1"/>
  <c r="P2" i="19" s="1"/>
  <c r="P16" i="19" s="1"/>
  <c r="L35" i="1" l="1"/>
  <c r="M35" i="1" s="1"/>
  <c r="N35" i="1" s="1"/>
  <c r="O35" i="1" s="1"/>
  <c r="P35" i="1" s="1"/>
  <c r="Q35" i="1" s="1"/>
  <c r="R35" i="1" s="1"/>
  <c r="S35" i="1" s="1"/>
  <c r="T35" i="1" s="1"/>
  <c r="U35" i="1" s="1"/>
  <c r="V35" i="1" s="1"/>
  <c r="C9" i="3" l="1"/>
  <c r="D9" i="3" s="1"/>
  <c r="E9" i="3" s="1"/>
  <c r="F9" i="3" s="1"/>
  <c r="G9" i="3" s="1"/>
  <c r="H9" i="3" s="1"/>
  <c r="I9" i="3" s="1"/>
  <c r="J9" i="3" s="1"/>
  <c r="K9" i="3" s="1"/>
  <c r="L9" i="3" s="1"/>
  <c r="M9" i="3" s="1"/>
  <c r="N9" i="3" s="1"/>
  <c r="J21" i="1" l="1"/>
  <c r="M66" i="5" l="1"/>
  <c r="M53" i="5"/>
  <c r="M41" i="5"/>
  <c r="M23" i="5"/>
  <c r="M14" i="5"/>
  <c r="M25" i="5" s="1"/>
  <c r="L66" i="5"/>
  <c r="L53" i="5"/>
  <c r="L41" i="5"/>
  <c r="L23" i="5"/>
  <c r="L14" i="5"/>
  <c r="K66" i="5"/>
  <c r="K53" i="5"/>
  <c r="K41" i="5"/>
  <c r="K23" i="5"/>
  <c r="K14" i="5"/>
  <c r="L68" i="5" l="1"/>
  <c r="M68" i="5"/>
  <c r="K68" i="5"/>
  <c r="M71" i="5"/>
  <c r="L25" i="5"/>
  <c r="K25" i="5"/>
  <c r="J66" i="5"/>
  <c r="J53" i="5"/>
  <c r="J41" i="5"/>
  <c r="J23" i="5"/>
  <c r="J14" i="5"/>
  <c r="J25" i="5" s="1"/>
  <c r="I14" i="5"/>
  <c r="I23" i="5"/>
  <c r="I25" i="5"/>
  <c r="I66" i="5"/>
  <c r="I53" i="5"/>
  <c r="I41" i="5"/>
  <c r="I68" i="5" s="1"/>
  <c r="H14" i="5"/>
  <c r="H23" i="5"/>
  <c r="H66" i="5"/>
  <c r="H53" i="5"/>
  <c r="H68" i="5" s="1"/>
  <c r="H41" i="5"/>
  <c r="G66" i="5"/>
  <c r="G53" i="5"/>
  <c r="G41" i="5"/>
  <c r="G68" i="5"/>
  <c r="G23" i="5"/>
  <c r="G14" i="5"/>
  <c r="G25" i="5" s="1"/>
  <c r="G71" i="5" s="1"/>
  <c r="F66" i="5"/>
  <c r="F53" i="5"/>
  <c r="F41" i="5"/>
  <c r="F68" i="5"/>
  <c r="F14" i="5"/>
  <c r="F23" i="5"/>
  <c r="F25" i="5"/>
  <c r="E66" i="5"/>
  <c r="E68" i="5" s="1"/>
  <c r="E53" i="5"/>
  <c r="E41" i="5"/>
  <c r="E14" i="5"/>
  <c r="E23" i="5"/>
  <c r="N23" i="5" s="1"/>
  <c r="D66" i="5"/>
  <c r="D68" i="5" s="1"/>
  <c r="D53" i="5"/>
  <c r="D41" i="5"/>
  <c r="D23" i="5"/>
  <c r="D25" i="5" s="1"/>
  <c r="D14" i="5"/>
  <c r="C14" i="5"/>
  <c r="N14" i="5" s="1"/>
  <c r="C23" i="5"/>
  <c r="C66" i="5"/>
  <c r="C68" i="5" s="1"/>
  <c r="C53" i="5"/>
  <c r="C41" i="5"/>
  <c r="B66" i="5"/>
  <c r="N66" i="5" s="1"/>
  <c r="B53" i="5"/>
  <c r="B68" i="5" s="1"/>
  <c r="B71" i="5" s="1"/>
  <c r="B41" i="5"/>
  <c r="B14" i="5"/>
  <c r="B23" i="5"/>
  <c r="B25" i="5"/>
  <c r="B9" i="3"/>
  <c r="C72" i="4"/>
  <c r="J29" i="4"/>
  <c r="P31" i="4"/>
  <c r="P47" i="4"/>
  <c r="P59" i="4"/>
  <c r="N54" i="4"/>
  <c r="N55" i="4"/>
  <c r="N15" i="4"/>
  <c r="N14" i="4"/>
  <c r="N13" i="4"/>
  <c r="N64" i="4"/>
  <c r="N39" i="5"/>
  <c r="N4" i="5"/>
  <c r="N5" i="5"/>
  <c r="N6" i="5"/>
  <c r="N7" i="5"/>
  <c r="N8" i="5"/>
  <c r="N9" i="5"/>
  <c r="N10" i="5"/>
  <c r="N11" i="5"/>
  <c r="N13" i="5"/>
  <c r="N15" i="5"/>
  <c r="N16" i="5"/>
  <c r="N17" i="5"/>
  <c r="N18" i="5"/>
  <c r="N19" i="5"/>
  <c r="N20" i="5"/>
  <c r="N22" i="5"/>
  <c r="N24" i="5"/>
  <c r="N26" i="5"/>
  <c r="N27" i="5"/>
  <c r="N28" i="5"/>
  <c r="N29" i="5"/>
  <c r="N30" i="5"/>
  <c r="N31" i="5"/>
  <c r="N32" i="5"/>
  <c r="N33" i="5"/>
  <c r="N34" i="5"/>
  <c r="N35" i="5"/>
  <c r="N36" i="5"/>
  <c r="N37" i="5"/>
  <c r="N38" i="5"/>
  <c r="N40" i="5"/>
  <c r="N42" i="5"/>
  <c r="N43" i="5"/>
  <c r="N44" i="5"/>
  <c r="N45" i="5"/>
  <c r="N46" i="5"/>
  <c r="N47" i="5"/>
  <c r="N48" i="5"/>
  <c r="N50" i="5"/>
  <c r="N51" i="5"/>
  <c r="N52" i="5"/>
  <c r="N54" i="5"/>
  <c r="N55" i="5"/>
  <c r="N56" i="5"/>
  <c r="N57" i="5"/>
  <c r="N58" i="5"/>
  <c r="N59" i="5"/>
  <c r="N60" i="5"/>
  <c r="N61" i="5"/>
  <c r="N63" i="5"/>
  <c r="N65" i="5"/>
  <c r="N62" i="5"/>
  <c r="N21" i="5"/>
  <c r="N49" i="5"/>
  <c r="N12" i="5"/>
  <c r="N64" i="5"/>
  <c r="B72" i="4"/>
  <c r="N67" i="5"/>
  <c r="J50" i="1"/>
  <c r="J32" i="1"/>
  <c r="J27" i="1"/>
  <c r="N17" i="4"/>
  <c r="N57" i="4"/>
  <c r="N53" i="4"/>
  <c r="N45" i="4"/>
  <c r="N42" i="4"/>
  <c r="N9" i="4"/>
  <c r="N10" i="4"/>
  <c r="N11" i="4"/>
  <c r="N12" i="4"/>
  <c r="N16" i="4"/>
  <c r="N18" i="4"/>
  <c r="G15" i="2"/>
  <c r="G24" i="2"/>
  <c r="G20" i="2"/>
  <c r="G19" i="2"/>
  <c r="G16" i="2"/>
  <c r="G14" i="2"/>
  <c r="G9" i="2"/>
  <c r="N25" i="4"/>
  <c r="H16" i="2"/>
  <c r="I16" i="2"/>
  <c r="J16" i="2"/>
  <c r="K16" i="2"/>
  <c r="L16" i="2"/>
  <c r="M16" i="2"/>
  <c r="N16" i="2"/>
  <c r="O16" i="2"/>
  <c r="P16" i="2"/>
  <c r="Q16" i="2"/>
  <c r="R16" i="2"/>
  <c r="H15" i="2"/>
  <c r="I15" i="2"/>
  <c r="J15" i="2"/>
  <c r="K15" i="2"/>
  <c r="L15" i="2"/>
  <c r="M15" i="2"/>
  <c r="N15" i="2"/>
  <c r="O15" i="2"/>
  <c r="P15" i="2"/>
  <c r="Q15" i="2"/>
  <c r="R15" i="2"/>
  <c r="N65" i="4"/>
  <c r="N46" i="4"/>
  <c r="N44" i="4"/>
  <c r="N36" i="4"/>
  <c r="J72" i="4"/>
  <c r="J59" i="4"/>
  <c r="J47" i="4"/>
  <c r="J20" i="4"/>
  <c r="N3" i="5"/>
  <c r="N52" i="4"/>
  <c r="N51" i="4"/>
  <c r="N50" i="4"/>
  <c r="N58" i="4"/>
  <c r="N56" i="4"/>
  <c r="K32" i="1"/>
  <c r="M72" i="4"/>
  <c r="L72" i="4"/>
  <c r="K72" i="4"/>
  <c r="I72" i="4"/>
  <c r="H72" i="4"/>
  <c r="G72" i="4"/>
  <c r="F72" i="4"/>
  <c r="E72" i="4"/>
  <c r="D72" i="4"/>
  <c r="M59" i="4"/>
  <c r="L59" i="4"/>
  <c r="K59" i="4"/>
  <c r="I59" i="4"/>
  <c r="H59" i="4"/>
  <c r="G59" i="4"/>
  <c r="F59" i="4"/>
  <c r="E59" i="4"/>
  <c r="D59" i="4"/>
  <c r="C59" i="4"/>
  <c r="B59" i="4"/>
  <c r="M47" i="4"/>
  <c r="L47" i="4"/>
  <c r="K47" i="4"/>
  <c r="I47" i="4"/>
  <c r="H47" i="4"/>
  <c r="G47" i="4"/>
  <c r="F47" i="4"/>
  <c r="E47" i="4"/>
  <c r="D47" i="4"/>
  <c r="C47" i="4"/>
  <c r="B47" i="4"/>
  <c r="C20" i="4"/>
  <c r="B20" i="4"/>
  <c r="B31" i="4" s="1"/>
  <c r="M29" i="4"/>
  <c r="L29" i="4"/>
  <c r="K29" i="4"/>
  <c r="I29" i="4"/>
  <c r="H29" i="4"/>
  <c r="G29" i="4"/>
  <c r="C29" i="4"/>
  <c r="B29" i="4"/>
  <c r="F29" i="4"/>
  <c r="E29" i="4"/>
  <c r="D29" i="4"/>
  <c r="M20" i="4"/>
  <c r="L20" i="4"/>
  <c r="K20" i="4"/>
  <c r="I20" i="4"/>
  <c r="H20" i="4"/>
  <c r="G20" i="4"/>
  <c r="F20" i="4"/>
  <c r="E20" i="4"/>
  <c r="D20" i="4"/>
  <c r="C6" i="6"/>
  <c r="B6" i="6"/>
  <c r="F6" i="6"/>
  <c r="E6" i="6"/>
  <c r="I6" i="6"/>
  <c r="H6" i="6"/>
  <c r="N40" i="4"/>
  <c r="C20" i="3"/>
  <c r="K24" i="1" s="1"/>
  <c r="C14" i="3"/>
  <c r="S27" i="2"/>
  <c r="H9" i="2"/>
  <c r="I9" i="2"/>
  <c r="J9" i="2"/>
  <c r="K9" i="2"/>
  <c r="L9" i="2"/>
  <c r="M9" i="2"/>
  <c r="N9" i="2"/>
  <c r="O9" i="2"/>
  <c r="P9" i="2"/>
  <c r="Q9" i="2"/>
  <c r="R9" i="2"/>
  <c r="H20" i="2"/>
  <c r="I20" i="2"/>
  <c r="J20" i="2"/>
  <c r="K20" i="2"/>
  <c r="L20" i="2"/>
  <c r="M20" i="2"/>
  <c r="N20" i="2"/>
  <c r="O20" i="2"/>
  <c r="P20" i="2"/>
  <c r="Q20" i="2"/>
  <c r="R20" i="2"/>
  <c r="H24" i="2"/>
  <c r="I24" i="2"/>
  <c r="J24" i="2"/>
  <c r="K24" i="2"/>
  <c r="L24" i="2"/>
  <c r="M24" i="2"/>
  <c r="N24" i="2"/>
  <c r="O24" i="2"/>
  <c r="P24" i="2"/>
  <c r="Q24" i="2"/>
  <c r="R24" i="2"/>
  <c r="N71" i="4"/>
  <c r="N70" i="4"/>
  <c r="N69" i="4"/>
  <c r="N68" i="4"/>
  <c r="N67" i="4"/>
  <c r="N66" i="4"/>
  <c r="N63" i="4"/>
  <c r="N62" i="4"/>
  <c r="N43" i="4"/>
  <c r="N41" i="4"/>
  <c r="N39" i="4"/>
  <c r="N38" i="4"/>
  <c r="N37" i="4"/>
  <c r="N35" i="4"/>
  <c r="N24" i="4"/>
  <c r="N23" i="4"/>
  <c r="N29" i="4" s="1"/>
  <c r="J19" i="2"/>
  <c r="L19" i="2"/>
  <c r="N19" i="2"/>
  <c r="P19" i="2"/>
  <c r="R19" i="2"/>
  <c r="L32" i="1"/>
  <c r="M32" i="1"/>
  <c r="N32" i="1"/>
  <c r="O32" i="1"/>
  <c r="P32" i="1"/>
  <c r="Q32" i="1"/>
  <c r="R32" i="1"/>
  <c r="S32" i="1"/>
  <c r="T32" i="1"/>
  <c r="U32" i="1"/>
  <c r="V32" i="1"/>
  <c r="Q19" i="2"/>
  <c r="O19" i="2"/>
  <c r="M19" i="2"/>
  <c r="K19" i="2"/>
  <c r="I19" i="2"/>
  <c r="H19" i="2"/>
  <c r="H14" i="2"/>
  <c r="M14" i="2"/>
  <c r="N14" i="2"/>
  <c r="P14" i="2"/>
  <c r="O14" i="2"/>
  <c r="Q14" i="2"/>
  <c r="R14" i="2"/>
  <c r="I14" i="2"/>
  <c r="J14" i="2"/>
  <c r="L14" i="2"/>
  <c r="K14" i="2"/>
  <c r="P74" i="4" l="1"/>
  <c r="S9" i="2"/>
  <c r="S15" i="2"/>
  <c r="S20" i="2"/>
  <c r="D20" i="3"/>
  <c r="L24" i="1" s="1"/>
  <c r="H13" i="2" s="1"/>
  <c r="D14" i="3"/>
  <c r="J51" i="1"/>
  <c r="S14" i="2"/>
  <c r="S16" i="2"/>
  <c r="S18" i="2"/>
  <c r="S19" i="2"/>
  <c r="S24" i="2"/>
  <c r="J36" i="1"/>
  <c r="G31" i="2"/>
  <c r="E20" i="3"/>
  <c r="F20" i="3" s="1"/>
  <c r="N24" i="1" s="1"/>
  <c r="G13" i="2"/>
  <c r="H31" i="4"/>
  <c r="G31" i="4"/>
  <c r="F31" i="4"/>
  <c r="E31" i="4"/>
  <c r="D31" i="4"/>
  <c r="C31" i="4"/>
  <c r="N72" i="4"/>
  <c r="E74" i="4"/>
  <c r="F24" i="3" s="1"/>
  <c r="G74" i="4"/>
  <c r="I25" i="3" s="1"/>
  <c r="D74" i="4"/>
  <c r="F25" i="3" s="1"/>
  <c r="C74" i="4"/>
  <c r="D24" i="3" s="1"/>
  <c r="N59" i="4"/>
  <c r="H74" i="4"/>
  <c r="I24" i="3" s="1"/>
  <c r="I74" i="4"/>
  <c r="K25" i="3" s="1"/>
  <c r="J74" i="4"/>
  <c r="L25" i="3" s="1"/>
  <c r="K74" i="4"/>
  <c r="M25" i="3" s="1"/>
  <c r="L74" i="4"/>
  <c r="N25" i="3" s="1"/>
  <c r="M74" i="4"/>
  <c r="N24" i="3" s="1"/>
  <c r="F74" i="4"/>
  <c r="B74" i="4"/>
  <c r="B77" i="4" s="1"/>
  <c r="G7" i="2" s="1"/>
  <c r="N47" i="4"/>
  <c r="G25" i="3"/>
  <c r="J31" i="4"/>
  <c r="I31" i="4"/>
  <c r="K31" i="4"/>
  <c r="L31" i="4"/>
  <c r="M31" i="4"/>
  <c r="N20" i="4"/>
  <c r="N31" i="4" s="1"/>
  <c r="K23" i="1"/>
  <c r="D71" i="5"/>
  <c r="F71" i="5"/>
  <c r="N53" i="5"/>
  <c r="L71" i="5"/>
  <c r="I71" i="5"/>
  <c r="N41" i="5"/>
  <c r="J68" i="5"/>
  <c r="K71" i="5"/>
  <c r="E25" i="5"/>
  <c r="E71" i="5" s="1"/>
  <c r="H25" i="5"/>
  <c r="H71" i="5" s="1"/>
  <c r="C25" i="5"/>
  <c r="C71" i="5" s="1"/>
  <c r="J71" i="5"/>
  <c r="N68" i="5"/>
  <c r="J53" i="1" l="1"/>
  <c r="E14" i="3"/>
  <c r="L22" i="1"/>
  <c r="G20" i="3"/>
  <c r="O24" i="1" s="1"/>
  <c r="K13" i="2" s="1"/>
  <c r="M24" i="1"/>
  <c r="J13" i="2" s="1"/>
  <c r="F77" i="4"/>
  <c r="K7" i="2" s="1"/>
  <c r="E77" i="4"/>
  <c r="J7" i="2" s="1"/>
  <c r="C77" i="4"/>
  <c r="H7" i="2" s="1"/>
  <c r="I77" i="4"/>
  <c r="N7" i="2" s="1"/>
  <c r="H77" i="4"/>
  <c r="M7" i="2" s="1"/>
  <c r="H24" i="3"/>
  <c r="G77" i="4"/>
  <c r="L7" i="2" s="1"/>
  <c r="E25" i="3"/>
  <c r="E24" i="3"/>
  <c r="D77" i="4"/>
  <c r="I7" i="2" s="1"/>
  <c r="J24" i="3"/>
  <c r="K24" i="3"/>
  <c r="N74" i="4"/>
  <c r="N77" i="4" s="1"/>
  <c r="M77" i="4"/>
  <c r="R7" i="2" s="1"/>
  <c r="L77" i="4"/>
  <c r="Q7" i="2" s="1"/>
  <c r="K77" i="4"/>
  <c r="P7" i="2" s="1"/>
  <c r="J77" i="4"/>
  <c r="O7" i="2" s="1"/>
  <c r="M24" i="3"/>
  <c r="J25" i="3"/>
  <c r="L24" i="3"/>
  <c r="D25" i="3"/>
  <c r="C24" i="3"/>
  <c r="C26" i="3" s="1"/>
  <c r="D23" i="3" s="1"/>
  <c r="H25" i="3"/>
  <c r="G24" i="3"/>
  <c r="K49" i="1"/>
  <c r="L23" i="1"/>
  <c r="G12" i="2"/>
  <c r="N25" i="5"/>
  <c r="N71" i="5"/>
  <c r="H12" i="2" l="1"/>
  <c r="M22" i="1"/>
  <c r="F14" i="3"/>
  <c r="H20" i="3"/>
  <c r="P24" i="1" s="1"/>
  <c r="I13" i="2"/>
  <c r="L49" i="1"/>
  <c r="M49" i="1" s="1"/>
  <c r="K50" i="1"/>
  <c r="S7" i="2"/>
  <c r="D26" i="3"/>
  <c r="E23" i="3" s="1"/>
  <c r="E26" i="3" s="1"/>
  <c r="M40" i="1" s="1"/>
  <c r="M46" i="1" s="1"/>
  <c r="K40" i="1"/>
  <c r="K46" i="1" s="1"/>
  <c r="M23" i="1"/>
  <c r="I12" i="2" l="1"/>
  <c r="N22" i="1"/>
  <c r="G14" i="3"/>
  <c r="I20" i="3"/>
  <c r="J20" i="3" s="1"/>
  <c r="L13" i="2"/>
  <c r="K51" i="1"/>
  <c r="L50" i="1"/>
  <c r="F23" i="3"/>
  <c r="F26" i="3" s="1"/>
  <c r="G23" i="3" s="1"/>
  <c r="G26" i="3" s="1"/>
  <c r="L40" i="1"/>
  <c r="L46" i="1" s="1"/>
  <c r="G17" i="2"/>
  <c r="G21" i="2" s="1"/>
  <c r="G29" i="2" s="1"/>
  <c r="N49" i="1"/>
  <c r="M50" i="1"/>
  <c r="N23" i="1"/>
  <c r="J12" i="2" l="1"/>
  <c r="O22" i="1"/>
  <c r="H14" i="3"/>
  <c r="Q24" i="1"/>
  <c r="M13" i="2" s="1"/>
  <c r="R24" i="1"/>
  <c r="K20" i="3"/>
  <c r="L51" i="1"/>
  <c r="I17" i="2"/>
  <c r="I21" i="2" s="1"/>
  <c r="I29" i="2" s="1"/>
  <c r="N40" i="1"/>
  <c r="H17" i="2"/>
  <c r="H21" i="2" s="1"/>
  <c r="H29" i="2" s="1"/>
  <c r="M51" i="1"/>
  <c r="O40" i="1"/>
  <c r="O46" i="1" s="1"/>
  <c r="H23" i="3"/>
  <c r="H26" i="3" s="1"/>
  <c r="N50" i="1"/>
  <c r="O49" i="1"/>
  <c r="G33" i="2"/>
  <c r="O23" i="1"/>
  <c r="J17" i="2" l="1"/>
  <c r="J21" i="2" s="1"/>
  <c r="J29" i="2" s="1"/>
  <c r="N46" i="1"/>
  <c r="N51" i="1" s="1"/>
  <c r="K12" i="2"/>
  <c r="I14" i="3"/>
  <c r="P22" i="1"/>
  <c r="L20" i="3"/>
  <c r="S24" i="1"/>
  <c r="O13" i="2" s="1"/>
  <c r="N13" i="2"/>
  <c r="I23" i="3"/>
  <c r="I26" i="3" s="1"/>
  <c r="P40" i="1"/>
  <c r="P46" i="1" s="1"/>
  <c r="K17" i="2"/>
  <c r="O50" i="1"/>
  <c r="P49" i="1"/>
  <c r="P23" i="1"/>
  <c r="K21" i="1"/>
  <c r="K20" i="1" s="1"/>
  <c r="K21" i="2" l="1"/>
  <c r="K29" i="2" s="1"/>
  <c r="J14" i="3"/>
  <c r="Q22" i="1"/>
  <c r="M20" i="3"/>
  <c r="T24" i="1"/>
  <c r="G35" i="2"/>
  <c r="O51" i="1"/>
  <c r="L17" i="2"/>
  <c r="J23" i="3"/>
  <c r="J26" i="3" s="1"/>
  <c r="Q40" i="1"/>
  <c r="Q46" i="1" s="1"/>
  <c r="Q49" i="1"/>
  <c r="P50" i="1"/>
  <c r="Q23" i="1"/>
  <c r="K27" i="1"/>
  <c r="K36" i="1" s="1"/>
  <c r="K53" i="1" s="1"/>
  <c r="H31" i="2"/>
  <c r="H33" i="2" s="1"/>
  <c r="L12" i="2"/>
  <c r="K14" i="3" l="1"/>
  <c r="R22" i="1"/>
  <c r="N20" i="3"/>
  <c r="V24" i="1" s="1"/>
  <c r="U24" i="1"/>
  <c r="P13" i="2"/>
  <c r="P51" i="1"/>
  <c r="M17" i="2"/>
  <c r="K23" i="3"/>
  <c r="K26" i="3" s="1"/>
  <c r="R40" i="1"/>
  <c r="R46" i="1" s="1"/>
  <c r="Q50" i="1"/>
  <c r="R49" i="1"/>
  <c r="L21" i="2"/>
  <c r="L21" i="1"/>
  <c r="H35" i="2" s="1"/>
  <c r="R23" i="1"/>
  <c r="M12" i="2"/>
  <c r="M21" i="2" l="1"/>
  <c r="M29" i="2" s="1"/>
  <c r="N12" i="2"/>
  <c r="S22" i="1"/>
  <c r="L14" i="3"/>
  <c r="R13" i="2"/>
  <c r="Q13" i="2"/>
  <c r="Q51" i="1"/>
  <c r="N17" i="2"/>
  <c r="L23" i="3"/>
  <c r="L26" i="3" s="1"/>
  <c r="S40" i="1"/>
  <c r="S46" i="1" s="1"/>
  <c r="S49" i="1"/>
  <c r="R50" i="1"/>
  <c r="S23" i="1"/>
  <c r="L20" i="1"/>
  <c r="I31" i="2"/>
  <c r="I33" i="2" s="1"/>
  <c r="L27" i="1"/>
  <c r="L36" i="1" s="1"/>
  <c r="L53" i="1" s="1"/>
  <c r="L29" i="2"/>
  <c r="N21" i="2" l="1"/>
  <c r="N29" i="2" s="1"/>
  <c r="T22" i="1"/>
  <c r="M14" i="3"/>
  <c r="S13" i="2"/>
  <c r="R51" i="1"/>
  <c r="O17" i="2"/>
  <c r="M23" i="3"/>
  <c r="M26" i="3" s="1"/>
  <c r="T40" i="1"/>
  <c r="T46" i="1" s="1"/>
  <c r="T49" i="1"/>
  <c r="S50" i="1"/>
  <c r="T23" i="1"/>
  <c r="O12" i="2"/>
  <c r="M21" i="1"/>
  <c r="I35" i="2" s="1"/>
  <c r="N14" i="3" l="1"/>
  <c r="V22" i="1" s="1"/>
  <c r="U22" i="1"/>
  <c r="S51" i="1"/>
  <c r="P17" i="2"/>
  <c r="U40" i="1"/>
  <c r="U46" i="1" s="1"/>
  <c r="N23" i="3"/>
  <c r="N26" i="3" s="1"/>
  <c r="V40" i="1" s="1"/>
  <c r="V46" i="1" s="1"/>
  <c r="T50" i="1"/>
  <c r="U49" i="1"/>
  <c r="O21" i="2"/>
  <c r="M20" i="1"/>
  <c r="M27" i="1"/>
  <c r="M36" i="1" s="1"/>
  <c r="M53" i="1" s="1"/>
  <c r="J31" i="2"/>
  <c r="J33" i="2" s="1"/>
  <c r="V23" i="1"/>
  <c r="U23" i="1"/>
  <c r="P12" i="2"/>
  <c r="P21" i="2" l="1"/>
  <c r="P29" i="2" s="1"/>
  <c r="T51" i="1"/>
  <c r="R17" i="2"/>
  <c r="Q17" i="2"/>
  <c r="V49" i="1"/>
  <c r="V50" i="1" s="1"/>
  <c r="U50" i="1"/>
  <c r="R12" i="2"/>
  <c r="Q12" i="2"/>
  <c r="N21" i="1"/>
  <c r="O29" i="2"/>
  <c r="Q21" i="2" l="1"/>
  <c r="Q29" i="2" s="1"/>
  <c r="R21" i="2"/>
  <c r="R29" i="2" s="1"/>
  <c r="U51" i="1"/>
  <c r="V51" i="1"/>
  <c r="S17" i="2"/>
  <c r="S12" i="2"/>
  <c r="N20" i="1"/>
  <c r="K31" i="2"/>
  <c r="K33" i="2" s="1"/>
  <c r="N27" i="1"/>
  <c r="N36" i="1" s="1"/>
  <c r="N53" i="1" s="1"/>
  <c r="J35" i="2"/>
  <c r="S29" i="2" l="1"/>
  <c r="S21" i="2"/>
  <c r="O21" i="1"/>
  <c r="K35" i="2" s="1"/>
  <c r="L31" i="2" l="1"/>
  <c r="L33" i="2" s="1"/>
  <c r="O27" i="1"/>
  <c r="O36" i="1" s="1"/>
  <c r="O53" i="1" s="1"/>
  <c r="O20" i="1"/>
  <c r="P21" i="1" l="1"/>
  <c r="L35" i="2" s="1"/>
  <c r="P20" i="1" l="1"/>
  <c r="P27" i="1"/>
  <c r="P36" i="1" s="1"/>
  <c r="P53" i="1" s="1"/>
  <c r="M31" i="2"/>
  <c r="M33" i="2" s="1"/>
  <c r="Q21" i="1" l="1"/>
  <c r="Q20" i="1" l="1"/>
  <c r="N31" i="2"/>
  <c r="N33" i="2" s="1"/>
  <c r="Q27" i="1"/>
  <c r="Q36" i="1" s="1"/>
  <c r="Q53" i="1" s="1"/>
  <c r="M35" i="2"/>
  <c r="R21" i="1" l="1"/>
  <c r="N35" i="2" s="1"/>
  <c r="R20" i="1" l="1"/>
  <c r="O31" i="2"/>
  <c r="O33" i="2" s="1"/>
  <c r="R27" i="1"/>
  <c r="R36" i="1" s="1"/>
  <c r="R53" i="1" s="1"/>
  <c r="S21" i="1" l="1"/>
  <c r="S27" i="1" l="1"/>
  <c r="S36" i="1" s="1"/>
  <c r="S53" i="1" s="1"/>
  <c r="S20" i="1"/>
  <c r="P31" i="2"/>
  <c r="P33" i="2" s="1"/>
  <c r="O35" i="2"/>
  <c r="T21" i="1" l="1"/>
  <c r="P35" i="2" s="1"/>
  <c r="T20" i="1" l="1"/>
  <c r="T27" i="1"/>
  <c r="T36" i="1" s="1"/>
  <c r="T53" i="1" s="1"/>
  <c r="Q31" i="2"/>
  <c r="Q33" i="2" s="1"/>
  <c r="U21" i="1" l="1"/>
  <c r="U20" i="1" l="1"/>
  <c r="R31" i="2"/>
  <c r="R33" i="2" s="1"/>
  <c r="U27" i="1"/>
  <c r="U36" i="1" s="1"/>
  <c r="U53" i="1" s="1"/>
  <c r="Q35" i="2"/>
  <c r="V21" i="1" l="1"/>
  <c r="R35" i="2" s="1"/>
  <c r="V20" i="1" l="1"/>
  <c r="V27" i="1"/>
  <c r="V36" i="1" s="1"/>
  <c r="V53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</authors>
  <commentList>
    <comment ref="N10" authorId="0" shapeId="0" xr:uid="{34D4CD40-2913-4FE2-A73A-9748E59A215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sales gross ($35,000 net)</t>
        </r>
      </text>
    </comment>
    <comment ref="N11" authorId="0" shapeId="0" xr:uid="{C279BB75-3E29-4B51-86A5-7A352500E66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$675/mo sustaining membership revenue</t>
        </r>
      </text>
    </comment>
    <comment ref="D13" authorId="0" shapeId="0" xr:uid="{7A6A5973-095C-4870-BEB6-A1E1FC32453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$1570 staff bonuses</t>
        </r>
      </text>
    </comment>
    <comment ref="C14" authorId="0" shapeId="0" xr:uid="{2F783C0A-65D7-4233-8254-9F93DEB87F1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$3628 staff bonuses</t>
        </r>
      </text>
    </comment>
    <comment ref="N15" authorId="0" shapeId="0" xr:uid="{9D779F0C-2E0A-4E88-B308-733CFEABF8C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R3</t>
        </r>
      </text>
    </comment>
    <comment ref="N16" authorId="0" shapeId="0" xr:uid="{FD3CE8DE-D825-4BD1-817F-98BDCEDA0EA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USFWS Cooperative agreements</t>
        </r>
      </text>
    </comment>
    <comment ref="N24" authorId="1" shapeId="0" xr:uid="{00000000-0006-0000-0000-000006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expense (35,000 net)</t>
        </r>
      </text>
    </comment>
    <comment ref="C35" authorId="0" shapeId="0" xr:uid="{85751A2B-0DF1-4D63-88E1-7D73FE90732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$270 staff bonuses</t>
        </r>
      </text>
    </comment>
    <comment ref="C50" authorId="0" shapeId="0" xr:uid="{8D3AF8E8-3370-476A-BDD6-AAF44EDB960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$4500 staff bonuses</t>
        </r>
      </text>
    </comment>
    <comment ref="E52" authorId="0" shapeId="0" xr:uid="{5B914AF5-0D11-4070-92AC-453375C5CFC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$500 mem drive ads</t>
        </r>
      </text>
    </comment>
    <comment ref="F52" authorId="0" shapeId="0" xr:uid="{70951467-B400-44ED-8F23-D7AA6FA99E6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$756 for 7 MS Office annual licenses</t>
        </r>
      </text>
    </comment>
    <comment ref="C53" authorId="0" shapeId="0" xr:uid="{043D8BE3-92FD-4E81-AB7E-E226BA0B6A2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$1570 staff bonuses</t>
        </r>
      </text>
    </comment>
    <comment ref="C54" authorId="0" shapeId="0" xr:uid="{CC05E0E7-9ADC-4E5F-B210-34B69B3F58D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$3628 staff bonuses</t>
        </r>
      </text>
    </comment>
    <comment ref="N54" authorId="0" shapeId="0" xr:uid="{6267A50D-3266-4089-91F5-F693A19F2E6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PLE, LYR</t>
        </r>
      </text>
    </comment>
    <comment ref="B58" authorId="0" shapeId="0" xr:uid="{83FA9853-BE85-4E63-8827-F80827EA584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$1k Kleefisch Consulting - lobbyist</t>
        </r>
      </text>
    </comment>
    <comment ref="C58" authorId="0" shapeId="0" xr:uid="{718A6CB7-99CC-490B-A4E0-682EFF8422C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$1k Kleefisch Consulting - lobbyist</t>
        </r>
      </text>
    </comment>
    <comment ref="D58" authorId="0" shapeId="0" xr:uid="{05E6664E-9EC8-4172-BC07-E33A61DA369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$1k Kleefisch Consulting - lobbyist</t>
        </r>
      </text>
    </comment>
    <comment ref="E58" authorId="0" shapeId="0" xr:uid="{BC20B130-9049-41CB-BD85-4B1CAD74977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$1k Kleefisch Consulting - lobbyist</t>
        </r>
      </text>
    </comment>
    <comment ref="K58" authorId="0" shapeId="0" xr:uid="{241ABF83-BE66-4375-BAAE-D4529E3A4B6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$3500 Constant Contact renewal, $2500 LTHs</t>
        </r>
      </text>
    </comment>
    <comment ref="L58" authorId="0" shapeId="0" xr:uid="{5D6DE7C8-9B0C-4F7E-BCA4-47ADC2FD249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$2500 LTHs</t>
        </r>
      </text>
    </comment>
    <comment ref="D69" authorId="0" shapeId="0" xr:uid="{A84A2257-E909-4D71-BFC6-85848CADA41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Progress billing FY25 reports</t>
        </r>
      </text>
    </comment>
    <comment ref="E69" authorId="0" shapeId="0" xr:uid="{52D3F721-AF89-4E24-BF0F-71B3A1D2EEB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Progress billing FY25 reports</t>
        </r>
      </text>
    </comment>
    <comment ref="K69" authorId="0" shapeId="0" xr:uid="{8F0FD391-0403-4434-85F8-CE10D7C6362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FY25 990</t>
        </r>
      </text>
    </comment>
    <comment ref="N71" authorId="0" shapeId="0" xr:uid="{3BF3FDFB-DF80-49F2-A19C-5642495EB98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GGBCF loss/gain based off avg of FY25 #s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</authors>
  <commentList>
    <comment ref="H13" authorId="0" shapeId="0" xr:uid="{48329CE1-825E-4B19-8CAF-2A752302D9F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$100,000 board restricted</t>
        </r>
      </text>
    </comment>
    <comment ref="J13" authorId="1" shapeId="0" xr:uid="{B4D38190-B25A-43F9-ADCD-2A90B843511F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J14" authorId="0" shapeId="0" xr:uid="{9006D53E-AF0E-45C7-9F20-2D45D4A2A76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S17" authorId="0" shapeId="0" xr:uid="{67258C10-ABB4-4CA7-BABE-A89196C1DBF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Reflects transfer of $105,000 EXPO budgeted net to state unrestricted account</t>
        </r>
      </text>
    </comment>
    <comment ref="J22" authorId="0" shapeId="0" xr:uid="{9D51AD68-E0B6-45CE-89E4-994250C243E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P25" authorId="0" shapeId="0" xr:uid="{D3A33C14-E4FF-4BC1-8796-7818A22D52D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2027 calendar printing</t>
        </r>
      </text>
    </comment>
    <comment ref="J26" authorId="0" shapeId="0" xr:uid="{80D69C84-B3EB-4485-8AFB-21E2F699DFA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J41" authorId="1" shapeId="0" xr:uid="{7A94C510-AB16-494F-8CFF-476A1BA61335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expenses</t>
        </r>
      </text>
    </comment>
    <comment ref="L45" authorId="0" shapeId="0" xr:uid="{2868F117-3BEF-49D0-B1BB-C1B657444D6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Staff bonuses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</authors>
  <commentList>
    <comment ref="B4" authorId="0" shapeId="0" xr:uid="{85F68A96-62C0-4C19-A31D-7977E2E8462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$19,481.76 DS FY24, </t>
        </r>
      </text>
    </comment>
    <comment ref="E4" authorId="0" shapeId="0" xr:uid="{F33AE656-47E3-47D7-B931-EDF084F38E3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$1570 staff bonuses billable to grant</t>
        </r>
      </text>
    </comment>
    <comment ref="B5" authorId="0" shapeId="0" xr:uid="{07FF635F-1F05-4C9B-8698-2381024C78D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$7905.33 PLE</t>
        </r>
      </text>
    </comment>
    <comment ref="D5" authorId="0" shapeId="0" xr:uid="{0DE1C116-65D4-4800-AC1B-1CA8A623F3A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$3680 staff bonuses billable to grants</t>
        </r>
      </text>
    </comment>
    <comment ref="C25" authorId="1" shapeId="0" xr:uid="{00000000-0006-0000-0300-000006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prior month's expenses minus salaries</t>
        </r>
      </text>
    </comment>
    <comment ref="H25" authorId="0" shapeId="0" xr:uid="{73271BED-8192-4B8E-9148-359B4FD4B3D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$30,000 Duck stamp payment to HRP</t>
        </r>
      </text>
    </comment>
    <comment ref="I25" authorId="1" shapeId="0" xr:uid="{00000000-0006-0000-0300-000007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$20,000 Small NAWCA payment to HRP </t>
        </r>
      </text>
    </comment>
    <comment ref="J25" authorId="0" shapeId="0" xr:uid="{E3277146-24C8-4E5F-ACA4-5FEF772CFDC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$30,000 HRP payment from Small NAWCA closeout anticipated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Microsoft Office User</author>
  </authors>
  <commentList>
    <comment ref="E10" authorId="0" shapeId="0" xr:uid="{04BA9CD5-DA70-42A1-91D9-071B3437F67F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BD = $1400
</t>
        </r>
        <r>
          <rPr>
            <sz val="10"/>
            <color rgb="FF000000"/>
            <rFont val="Tahoma"/>
            <family val="2"/>
          </rPr>
          <t xml:space="preserve">Venue = $2500
</t>
        </r>
      </text>
    </comment>
    <comment ref="G10" authorId="0" shapeId="0" xr:uid="{723EFD6C-40BE-450A-9B72-B174AB0F0186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$1400 = BD
</t>
        </r>
        <r>
          <rPr>
            <sz val="10"/>
            <color rgb="FF000000"/>
            <rFont val="Tahoma"/>
            <family val="2"/>
          </rPr>
          <t>$30000 = tent deposit</t>
        </r>
      </text>
    </comment>
    <comment ref="I10" authorId="0" shapeId="0" xr:uid="{38F344F7-8001-489F-A41A-67FD5CB2E259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1"/>
            <color rgb="FF000000"/>
            <rFont val="Tahoma"/>
            <family val="2"/>
          </rPr>
          <t xml:space="preserve">1400 = Bast Durbin Vnedor Management services +$2500 venue rental payment </t>
        </r>
      </text>
    </comment>
    <comment ref="J10" authorId="0" shapeId="0" xr:uid="{FAD92EB7-12FC-435E-A079-1AA20E021B68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1400 Bast Durbin vendor managemnet + $3000 for insurance</t>
        </r>
      </text>
    </comment>
    <comment ref="K10" authorId="0" shapeId="0" xr:uid="{D4EFACB7-70A2-4F57-8573-0E2126E351E0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 1400 BD payment
</t>
        </r>
        <r>
          <rPr>
            <sz val="10"/>
            <color rgb="FF000000"/>
            <rFont val="Tahoma"/>
            <family val="2"/>
          </rPr>
          <t xml:space="preserve">1000 = Beer 
</t>
        </r>
        <r>
          <rPr>
            <sz val="10"/>
            <color rgb="FF000000"/>
            <rFont val="Tahoma"/>
            <family val="2"/>
          </rPr>
          <t xml:space="preserve">2500 = tent final payment
</t>
        </r>
        <r>
          <rPr>
            <sz val="10"/>
            <color rgb="FF000000"/>
            <rFont val="Tahoma"/>
            <family val="2"/>
          </rPr>
          <t xml:space="preserve"> 2000 r= ental gear (electronic sign, ipads, radios</t>
        </r>
      </text>
    </comment>
    <comment ref="L10" authorId="0" shapeId="0" xr:uid="{47FC3EA3-A52E-4241-9FFE-63BBDE99CDE8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1400 BD payment + $5000 venue closeout</t>
        </r>
      </text>
    </comment>
    <comment ref="J12" authorId="0" shapeId="0" xr:uid="{06AF5E7A-1281-4E27-8566-6D6E4A065771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$2000 shooting venue</t>
        </r>
      </text>
    </comment>
    <comment ref="K12" authorId="0" shapeId="0" xr:uid="{C229D1AF-ECD4-4FF9-8B47-EA0D2AED57DA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$000 calling contest$500
</t>
        </r>
        <r>
          <rPr>
            <sz val="10"/>
            <color rgb="FF000000"/>
            <rFont val="Tahoma"/>
            <family val="2"/>
          </rPr>
          <t>Dog prizes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Microsoft Office User</author>
  </authors>
  <commentList>
    <comment ref="G10" authorId="0" shapeId="0" xr:uid="{188FB213-3F79-4152-B29F-3F3144A0F38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$5k for grant software expense</t>
        </r>
      </text>
    </comment>
    <comment ref="C13" authorId="1" shapeId="0" xr:uid="{E2B1C903-F10F-47A6-A312-7869FBFB1EF7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estimated</t>
        </r>
      </text>
    </comment>
    <comment ref="I13" authorId="1" shapeId="0" xr:uid="{71F9FA85-8528-42B6-B890-1BD2DE3B4EB4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This is the closeout of original PLE funding from FFLM</t>
        </r>
      </text>
    </comment>
    <comment ref="P13" authorId="1" shapeId="0" xr:uid="{55884500-2B9D-4BA6-A8AA-A36202433992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This is to close out theJackson Marsh Project</t>
        </r>
      </text>
    </comment>
    <comment ref="D18" authorId="1" shapeId="0" xr:uid="{A6EB3D60-99FB-4D31-B51E-857AB239A4FD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As of 10/8/2025, we have expended $6806.52</t>
        </r>
      </text>
    </comment>
    <comment ref="E18" authorId="1" shapeId="0" xr:uid="{7C643E49-1C3E-4109-A3D6-382BCC3F8EC3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The match has been met akready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tc={49054055-6872-41C2-BC99-8DC84F9B4FCE}</author>
  </authors>
  <commentList>
    <comment ref="F2" authorId="0" shapeId="0" xr:uid="{1628A8BF-CEEA-4D01-895C-94C0B7DC3B0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4% increase</t>
        </r>
      </text>
    </comment>
    <comment ref="F3" authorId="0" shapeId="0" xr:uid="{3DFCB81F-AC1F-4F47-986C-1CBD311F0AA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Raised to industry standard plan</t>
        </r>
      </text>
    </comment>
    <comment ref="F4" authorId="0" shapeId="0" xr:uid="{4B1B172E-543E-45A3-85B3-3D0DB9FDED9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$2500 increase per employment offer</t>
        </r>
      </text>
    </comment>
    <comment ref="F9" authorId="0" shapeId="0" xr:uid="{BCA91E81-1E34-4809-A4C4-429DC3869B6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6% increase</t>
        </r>
      </text>
    </comment>
    <comment ref="D10" authorId="1" shapeId="0" xr:uid="{49054055-6872-41C2-BC99-8DC84F9B4FCE}">
      <text>
        <t>[Threaded comment]
Your version of Excel allows you to read this threaded comment; however, any edits to it will get removed if the file is opened in a newer version of Excel. Learn more: https://go.microsoft.com/fwlink/?linkid=870924
Comment:
    Given to him as cash by Ross</t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</authors>
  <commentList>
    <comment ref="D1" authorId="0" shapeId="0" xr:uid="{8034AD5F-3ECA-437E-A3AF-E45309F6641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5 year average</t>
        </r>
      </text>
    </comment>
    <comment ref="E1" authorId="0" shapeId="0" xr:uid="{0B72ECA0-35C8-47B7-A663-3460FE27997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Budget x 10%</t>
        </r>
      </text>
    </comment>
    <comment ref="F1" authorId="0" shapeId="0" xr:uid="{F73EA324-868C-4B70-8EBE-B470C1A1CA2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Goal + $1200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</authors>
  <commentList>
    <comment ref="I5" authorId="0" shapeId="0" xr:uid="{C28DA1D4-A973-42C6-83C3-D5496F9EC29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$2800 EXPO memberships?</t>
        </r>
      </text>
    </comment>
    <comment ref="B7" authorId="0" shapeId="0" xr:uid="{6A7462B3-E57F-4526-B8C5-D732BB1C409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NRCS Qtr 4.2024 $3500 reimbursement</t>
        </r>
      </text>
    </comment>
    <comment ref="E7" authorId="0" shapeId="0" xr:uid="{D8845136-0612-4E7A-9F2C-67270599053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NRCS 19,160</t>
        </r>
      </text>
    </comment>
    <comment ref="H7" authorId="0" shapeId="0" xr:uid="{4E69BBA7-23BF-405B-8FDD-4ADA9D78DC0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NRCS 22,500</t>
        </r>
      </text>
    </comment>
    <comment ref="K7" authorId="0" shapeId="0" xr:uid="{40F0969D-6C6A-4FB9-A7BB-399C1AB8E62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NRCS 22,500</t>
        </r>
      </text>
    </comment>
    <comment ref="L7" authorId="0" shapeId="0" xr:uid="{9B7FD780-E9EA-45B4-AEDD-14A76894132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NRCS 22,500</t>
        </r>
      </text>
    </comment>
    <comment ref="M7" authorId="0" shapeId="0" xr:uid="{776156AE-515C-4F25-8261-23597D19F70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NRCS 22,500</t>
        </r>
      </text>
    </comment>
    <comment ref="B8" authorId="0" shapeId="0" xr:uid="{6E631454-F840-4D04-8BBC-64CAD8D376B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2250, LYR 3000</t>
        </r>
      </text>
    </comment>
    <comment ref="C8" authorId="0" shapeId="0" xr:uid="{FEF9F1EC-FB5F-44A7-8B0B-3D79020C931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4170, LYR 85,670</t>
        </r>
      </text>
    </comment>
    <comment ref="D8" authorId="0" shapeId="0" xr:uid="{2DA962B1-9A24-45E8-BFFB-FF5926D81E1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6385, LYR 87,670</t>
        </r>
      </text>
    </comment>
    <comment ref="E8" authorId="0" shapeId="0" xr:uid="{773A5DD6-4BEE-42A4-92D7-6F96C63E5A5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5200, LYR 85,670</t>
        </r>
      </text>
    </comment>
    <comment ref="F8" authorId="0" shapeId="0" xr:uid="{C6A4F260-1499-4D98-AA9B-7C4A34DD9F3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3920, LYR 3000</t>
        </r>
      </text>
    </comment>
    <comment ref="G8" authorId="0" shapeId="0" xr:uid="{008E88D6-B059-45E0-A2C4-AA929D65707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2600, LYR 3000</t>
        </r>
      </text>
    </comment>
    <comment ref="H8" authorId="0" shapeId="0" xr:uid="{A34EE6F3-99C0-4EB2-9C4C-316A6208D98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2425, LYR 3000
</t>
        </r>
      </text>
    </comment>
    <comment ref="I8" authorId="0" shapeId="0" xr:uid="{A65E9FA8-FBE0-4A6C-A849-F260B195866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3125, LYR 5000</t>
        </r>
      </text>
    </comment>
    <comment ref="J8" authorId="0" shapeId="0" xr:uid="{16478420-2A34-4C10-AA3E-A91AD18B3B2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2380, LYR 3000</t>
        </r>
      </text>
    </comment>
    <comment ref="K8" authorId="0" shapeId="0" xr:uid="{78EB2266-BA38-4C95-AF33-106D5076B1C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5000, LYR 3000</t>
        </r>
      </text>
    </comment>
    <comment ref="L8" authorId="0" shapeId="0" xr:uid="{E3E0EC4A-CA58-4A5D-B9E8-8A5B66A0034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5000, LYR 3000</t>
        </r>
      </text>
    </comment>
    <comment ref="M8" authorId="0" shapeId="0" xr:uid="{C56BD62F-0531-450A-AECF-D0A8B8BD7A2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5000, LYR 3000</t>
        </r>
      </text>
    </comment>
    <comment ref="C29" authorId="0" shapeId="0" xr:uid="{4874AFBB-A51F-42FE-B0CB-C27905A4E66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Monette $1000 bonus</t>
        </r>
      </text>
    </comment>
    <comment ref="B33" authorId="0" shapeId="0" xr:uid="{DF10AF74-B685-4FAC-BA92-52A4C626FAA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$3000 '24 sponsor gifts</t>
        </r>
      </text>
    </comment>
    <comment ref="C40" authorId="0" shapeId="0" xr:uid="{05D5ED79-947D-49FA-A7A3-2B8A3BCE6AD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Seibert</t>
        </r>
      </text>
    </comment>
    <comment ref="C44" authorId="0" shapeId="0" xr:uid="{6BD4F592-D8CA-4219-B567-2C123CC9DD4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Boettcher $4k bonus, Ross $3k bonus</t>
        </r>
      </text>
    </comment>
    <comment ref="C47" authorId="0" shapeId="0" xr:uid="{0CA99F24-56D1-4274-BFB0-9DC3D6D4D7F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HRP/Ziegler $2500 bonus, Rzchowski $2500 bonus billed to NRCS</t>
        </r>
      </text>
    </comment>
    <comment ref="B48" authorId="0" shapeId="0" xr:uid="{A569893C-6B76-43D6-9AB8-AA942AF47CC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3140, LYR 3000</t>
        </r>
      </text>
    </comment>
    <comment ref="C48" authorId="0" shapeId="0" xr:uid="{23150592-D135-4F9A-A783-A4003604FEC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5475, LYR 85,670, Pfost $1500 bonus billed to LYR</t>
        </r>
      </text>
    </comment>
    <comment ref="D48" authorId="0" shapeId="0" xr:uid="{C17B6FA7-B019-4FBD-B8F0-AF86E85FFD1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5050, LYR 87,670</t>
        </r>
      </text>
    </comment>
    <comment ref="E48" authorId="0" shapeId="0" xr:uid="{C4D78CEB-5D46-4C71-93F5-110F05BA91E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6230, LYR 85,670</t>
        </r>
      </text>
    </comment>
    <comment ref="F48" authorId="0" shapeId="0" xr:uid="{1866A660-D5B0-4294-89A0-F2A19330B41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4575, LYR 3000</t>
        </r>
      </text>
    </comment>
    <comment ref="G48" authorId="0" shapeId="0" xr:uid="{5FD3B050-D7D2-46C1-B215-D4EA61FCB9D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3125, LYR 3000</t>
        </r>
      </text>
    </comment>
    <comment ref="H48" authorId="0" shapeId="0" xr:uid="{9EB8CC31-95FC-4990-A816-ECCF4044CC5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4235, LYR 5000</t>
        </r>
      </text>
    </comment>
    <comment ref="I48" authorId="0" shapeId="0" xr:uid="{88C943B9-4997-4FE3-9A4B-9B1467EFD67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2925, LYR 3000</t>
        </r>
      </text>
    </comment>
    <comment ref="J48" authorId="0" shapeId="0" xr:uid="{D7BBE057-0B22-47E6-B965-7DFD48FC713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3000, LYR 3000</t>
        </r>
      </text>
    </comment>
    <comment ref="K48" authorId="0" shapeId="0" xr:uid="{15CED206-24EF-4F7A-A981-804B249BA3B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5400, LYR 3000</t>
        </r>
      </text>
    </comment>
    <comment ref="L48" authorId="0" shapeId="0" xr:uid="{B3D0DFF8-DB94-4B5E-B7B8-61229573570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5400, LYR 3000</t>
        </r>
      </text>
    </comment>
    <comment ref="M48" authorId="0" shapeId="0" xr:uid="{E32E958E-59BD-4F60-9C2C-4A7B814A679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5400, LYR 3000</t>
        </r>
      </text>
    </comment>
    <comment ref="B52" authorId="0" shapeId="0" xr:uid="{8652E682-CF32-4717-B489-D8333E617C5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Final web payment</t>
        </r>
      </text>
    </comment>
    <comment ref="C63" authorId="0" shapeId="0" xr:uid="{47A0378F-8941-41F1-8BB2-02DD1956F8E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$2100 progress billing FY24 reports</t>
        </r>
      </text>
    </comment>
    <comment ref="D63" authorId="0" shapeId="0" xr:uid="{6799F369-C8D9-4521-A0D3-23F54AD62C5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$2700 progress billing FY24 reports</t>
        </r>
      </text>
    </comment>
    <comment ref="E63" authorId="0" shapeId="0" xr:uid="{8EB9BBC8-9061-40B9-BA7A-C794C99E52B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Progress billing LYR audit prep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M. Boettcher</author>
  </authors>
  <commentList>
    <comment ref="C3" authorId="0" shapeId="0" xr:uid="{00000000-0006-0000-0500-000001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Reflects original budget - no expense reductions</t>
        </r>
      </text>
    </comment>
    <comment ref="F3" authorId="0" shapeId="0" xr:uid="{00000000-0006-0000-0500-000002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Relfects original budget - no expense reductions</t>
        </r>
      </text>
    </comment>
    <comment ref="I3" authorId="0" shapeId="0" xr:uid="{00000000-0006-0000-0500-000003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Reflects original budget - no expense reductions</t>
        </r>
      </text>
    </comment>
    <comment ref="H5" authorId="0" shapeId="0" xr:uid="{00000000-0006-0000-0500-000004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1/2 Ashly</t>
        </r>
      </text>
    </comment>
    <comment ref="I5" authorId="0" shapeId="0" xr:uid="{00000000-0006-0000-0500-000005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1/2 Ashly
</t>
        </r>
      </text>
    </comment>
  </commentList>
</comments>
</file>

<file path=xl/sharedStrings.xml><?xml version="1.0" encoding="utf-8"?>
<sst xmlns="http://schemas.openxmlformats.org/spreadsheetml/2006/main" count="570" uniqueCount="315">
  <si>
    <t xml:space="preserve">  Assets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</si>
  <si>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</si>
  <si>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</si>
  <si>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</si>
  <si>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</si>
  <si>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</si>
  <si>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</si>
  <si>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</si>
  <si>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</si>
  <si>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</si>
  <si>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</si>
  <si>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</si>
  <si>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</si>
  <si>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</si>
  <si>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</si>
  <si>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</si>
  <si>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</si>
  <si>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</si>
  <si>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</si>
  <si>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</si>
  <si>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</si>
  <si>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</si>
  <si>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</si>
  <si>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</si>
  <si>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</si>
  <si>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</si>
  <si>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</si>
  <si>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</si>
  <si>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</si>
  <si>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</si>
  <si>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</si>
  <si>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Net Equity at Beginning of Year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</si>
  <si>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</si>
  <si>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</si>
  <si>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</si>
  <si>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</si>
  <si>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</si>
  <si>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</si>
  <si>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</si>
  <si>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</si>
  <si>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</si>
  <si>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</si>
  <si>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</si>
  <si>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</si>
  <si>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</si>
  <si>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</si>
  <si>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</si>
  <si>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</si>
  <si>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</si>
  <si>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</si>
  <si>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December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</si>
  <si>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</si>
  <si>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</si>
  <si>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</si>
  <si>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</si>
  <si>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</si>
  <si>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</si>
  <si>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</si>
  <si>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</si>
  <si>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</si>
  <si>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</si>
  <si>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</si>
  <si>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Total</t>
  </si>
  <si>
    <t>Ending Balance</t>
  </si>
  <si>
    <t>Income Statement</t>
  </si>
  <si>
    <t>Gross Sales</t>
  </si>
  <si>
    <t>Chapter event revenue</t>
  </si>
  <si>
    <t>State event revenue</t>
  </si>
  <si>
    <t>Membership revenue</t>
  </si>
  <si>
    <t>Sponsor revenue</t>
  </si>
  <si>
    <t>Other</t>
  </si>
  <si>
    <t>Net Sales</t>
  </si>
  <si>
    <t>Standard Cost of Sales</t>
  </si>
  <si>
    <t>COS-Chapter event revenue</t>
  </si>
  <si>
    <t>COS-State event revenue</t>
  </si>
  <si>
    <t>COS-Other</t>
  </si>
  <si>
    <t>Total Standard Cost of Sales</t>
  </si>
  <si>
    <t>Gross Profit</t>
  </si>
  <si>
    <t>Operating Expenses</t>
  </si>
  <si>
    <t>Development:</t>
  </si>
  <si>
    <t>Wages</t>
  </si>
  <si>
    <t>Benefits</t>
  </si>
  <si>
    <t>Travel</t>
  </si>
  <si>
    <t>Phone</t>
  </si>
  <si>
    <t>Event expenses</t>
  </si>
  <si>
    <t>Postage &amp; shipping</t>
  </si>
  <si>
    <t>Shows &amp; meetings</t>
  </si>
  <si>
    <t>Marketing</t>
  </si>
  <si>
    <t>Magazine</t>
  </si>
  <si>
    <t>Advertising</t>
  </si>
  <si>
    <t>Rent</t>
  </si>
  <si>
    <t xml:space="preserve">Total </t>
  </si>
  <si>
    <t>Administration:</t>
  </si>
  <si>
    <t>Insurance</t>
  </si>
  <si>
    <t>Postage</t>
  </si>
  <si>
    <t>Professional fees</t>
  </si>
  <si>
    <t>Supplies</t>
  </si>
  <si>
    <t>Total Operating Expenses</t>
  </si>
  <si>
    <t>Net Income</t>
  </si>
  <si>
    <t>check</t>
  </si>
  <si>
    <t>Deferred Chapter Credit Cards</t>
  </si>
  <si>
    <t>Deferred Chapter Bank Accounts</t>
  </si>
  <si>
    <t>AR Grants</t>
  </si>
  <si>
    <t>Totals</t>
  </si>
  <si>
    <t>AR Trade</t>
  </si>
  <si>
    <t>Chapter Payments</t>
  </si>
  <si>
    <t>AP</t>
  </si>
  <si>
    <t>Beginning Balance</t>
  </si>
  <si>
    <t>Budget Exp minus Salaries</t>
  </si>
  <si>
    <t>Payments</t>
  </si>
  <si>
    <t>Balance</t>
  </si>
  <si>
    <t>Revenue</t>
  </si>
  <si>
    <t>Expense</t>
  </si>
  <si>
    <t>Profit (Loss)</t>
  </si>
  <si>
    <t>Chapters/Development</t>
  </si>
  <si>
    <t xml:space="preserve">          Education</t>
  </si>
  <si>
    <t xml:space="preserve">      Restoration/HRP</t>
  </si>
  <si>
    <t>Education</t>
  </si>
  <si>
    <t>Abrams restricted</t>
  </si>
  <si>
    <t>Program Services:</t>
  </si>
  <si>
    <t>Feb</t>
  </si>
  <si>
    <t>Sept</t>
  </si>
  <si>
    <t>Nov</t>
  </si>
  <si>
    <t>Dec</t>
  </si>
  <si>
    <t>Balance Sheet</t>
  </si>
  <si>
    <t xml:space="preserve">Cash Flow </t>
  </si>
  <si>
    <t>Oct</t>
  </si>
  <si>
    <t>AWA restricted</t>
  </si>
  <si>
    <t>EXPO restricted</t>
  </si>
  <si>
    <t>EXPO</t>
  </si>
  <si>
    <t>EXPO revenue</t>
  </si>
  <si>
    <t>Chapter Loan restricted</t>
  </si>
  <si>
    <t>Raffle restricted</t>
  </si>
  <si>
    <t xml:space="preserve"> </t>
  </si>
  <si>
    <t xml:space="preserve">AR Grant Payments </t>
  </si>
  <si>
    <t>PLE restricted</t>
  </si>
  <si>
    <t>NRCS</t>
  </si>
  <si>
    <t>USFWS  revenue</t>
  </si>
  <si>
    <t>Public Lands revenue</t>
  </si>
  <si>
    <t>Private Lands revenue</t>
  </si>
  <si>
    <t>Other Program Grant revenue</t>
  </si>
  <si>
    <t>Private Lands</t>
  </si>
  <si>
    <t>Public Lands</t>
  </si>
  <si>
    <t>USFWS</t>
  </si>
  <si>
    <t>Other Program Grants</t>
  </si>
  <si>
    <t>LYR</t>
  </si>
  <si>
    <t xml:space="preserve">Money Market </t>
  </si>
  <si>
    <t>Other Assets - Rent deposit</t>
  </si>
  <si>
    <t>Other Assets - Endowment Fund</t>
  </si>
  <si>
    <t>2026 Budget</t>
  </si>
  <si>
    <t xml:space="preserve">2026 Budget </t>
  </si>
  <si>
    <t>12.31.25</t>
  </si>
  <si>
    <t>GLRI</t>
  </si>
  <si>
    <t>2025 Actuals</t>
  </si>
  <si>
    <t>Plus Banquets - $3000 ea.</t>
  </si>
  <si>
    <t>Minus Inventory used - $3000 ea.</t>
  </si>
  <si>
    <t>Deferred Grant Revenue</t>
  </si>
  <si>
    <t>Banquets - $3000 ea.</t>
  </si>
  <si>
    <t>HABITAT</t>
  </si>
  <si>
    <t xml:space="preserve">$$ Awarded </t>
  </si>
  <si>
    <t xml:space="preserve">$$ Remaining </t>
  </si>
  <si>
    <t>$$ match required</t>
  </si>
  <si>
    <t>$$ match provided</t>
  </si>
  <si>
    <t>Jan</t>
  </si>
  <si>
    <t>Mar</t>
  </si>
  <si>
    <t>Apr</t>
  </si>
  <si>
    <t>Jun</t>
  </si>
  <si>
    <t>Jul</t>
  </si>
  <si>
    <t>Aug</t>
  </si>
  <si>
    <t>Sep</t>
  </si>
  <si>
    <t>TOTAL</t>
  </si>
  <si>
    <t>Fed?</t>
  </si>
  <si>
    <t>Notes</t>
  </si>
  <si>
    <t>Risk</t>
  </si>
  <si>
    <t>REVENUE</t>
  </si>
  <si>
    <t>x</t>
  </si>
  <si>
    <t>Duck stamp FY24- private lands</t>
  </si>
  <si>
    <t>No</t>
  </si>
  <si>
    <t>PZ says he'll spend this on projects--the total amount in March,  Nov/Dec</t>
  </si>
  <si>
    <t>Leopold Area</t>
  </si>
  <si>
    <t>Yes</t>
  </si>
  <si>
    <t>NAWCA Pines</t>
  </si>
  <si>
    <t>DNR PLE. (annual payment of $57,000)</t>
  </si>
  <si>
    <t>Projects?</t>
  </si>
  <si>
    <t>Includes Phase II in Jan and Feb, then Phase 3 in Dec</t>
  </si>
  <si>
    <t>CAN NOT ACCUMULATE OVER $1M IN FEDERAL FUNDS; Unlikely to spend much in Phase 3 in CY 2026</t>
  </si>
  <si>
    <t>duck stamp LYR</t>
  </si>
  <si>
    <t>Assumes some compensation (?)</t>
  </si>
  <si>
    <t xml:space="preserve">Assumes monthly reimbursement but could be quarterly. Projects - Poygan Deer Creek, Sheboygan Marsh, Ertmer </t>
  </si>
  <si>
    <t>FFLM</t>
  </si>
  <si>
    <t>FY24.25 Duck Stamp PLE remainders</t>
  </si>
  <si>
    <t>Available: $74800, but how to be used? Poygan?</t>
  </si>
  <si>
    <t>Duck stamp FY 26 PLE</t>
  </si>
  <si>
    <t>White River construction + Planning staff expense (Goose lake , Big Muskego)</t>
  </si>
  <si>
    <t>Duck Stamp FY 27 PLE</t>
  </si>
  <si>
    <t>Projects (Goose Lake - $40K) 2500 in staff planning for kettle morraine</t>
  </si>
  <si>
    <t>R3 Grant</t>
  </si>
  <si>
    <t>yes</t>
  </si>
  <si>
    <t>Final reimbursement for R3 program</t>
  </si>
  <si>
    <t>Partnership Phase IV (FY22)</t>
  </si>
  <si>
    <t xml:space="preserve">Note:estimates from WWA---USFWS spent $154K per year across all partnership grants--- in and out </t>
  </si>
  <si>
    <t>Partnership Phase V (FY23)</t>
  </si>
  <si>
    <t>Partnership Phase VI (FY24)</t>
  </si>
  <si>
    <t>Partnership Phase VII (FY25)</t>
  </si>
  <si>
    <t>Terrestrial invasives (FY25)</t>
  </si>
  <si>
    <t xml:space="preserve">new program, estimate only--should be in and out </t>
  </si>
  <si>
    <t>EXPENSES</t>
  </si>
  <si>
    <t>Private Lands rexpenses</t>
  </si>
  <si>
    <t>Admin/Grant Management/support</t>
  </si>
  <si>
    <t>Kelcy, Bruce and Brad private lands support effort</t>
  </si>
  <si>
    <t>HRP contract</t>
  </si>
  <si>
    <t xml:space="preserve">Various PL projects </t>
  </si>
  <si>
    <t>PZ says he'll spend this on projects--the total amount just spread across these months</t>
  </si>
  <si>
    <t>Pines Project</t>
  </si>
  <si>
    <t xml:space="preserve">NRCS Monitoring </t>
  </si>
  <si>
    <t>Public Lands expenses</t>
  </si>
  <si>
    <t>Prospecting/grant wrtiing/Admin chargeable to DNR or GLRI</t>
  </si>
  <si>
    <t>Average payment from DNR is 4750, add in WWA's 25%; Mar-Aug include QAPP development admin ($500)</t>
  </si>
  <si>
    <t>Kelcy, Bruce and Brad private lands support effort--directly chargeable to grants (various)</t>
  </si>
  <si>
    <t>Cedar Creek</t>
  </si>
  <si>
    <t>staff effort plus KCI contract</t>
  </si>
  <si>
    <t>White River</t>
  </si>
  <si>
    <t xml:space="preserve">Project complete in March </t>
  </si>
  <si>
    <t>Ertmer</t>
  </si>
  <si>
    <t>ecologist Staff time planning</t>
  </si>
  <si>
    <t>Goose Lake</t>
  </si>
  <si>
    <t>Staff time planning + construction in Aug</t>
  </si>
  <si>
    <t>Big Muskego</t>
  </si>
  <si>
    <t>Kettle Morraine</t>
  </si>
  <si>
    <t>DNR is doing the construction, but this is for staff time</t>
  </si>
  <si>
    <t>Deer Creek</t>
  </si>
  <si>
    <t>Lake Poygan</t>
  </si>
  <si>
    <t>Sheboygan Marsh</t>
  </si>
  <si>
    <t>Other Program Grant expenses</t>
  </si>
  <si>
    <t>Closeout R3 grant</t>
  </si>
  <si>
    <t>This closes out the grant, but expenses have been carried over form 2025</t>
  </si>
  <si>
    <t>USFWS expenses</t>
  </si>
  <si>
    <t>FUNDS OF FEDERAL ORIGIN=</t>
  </si>
  <si>
    <t>2026 Expo Budget Draft 1</t>
  </si>
  <si>
    <t>Vendors</t>
  </si>
  <si>
    <t xml:space="preserve">Booth sales </t>
  </si>
  <si>
    <t>Sponsors</t>
  </si>
  <si>
    <t>More sponsor and booth sales</t>
  </si>
  <si>
    <t xml:space="preserve">Attendance, etc </t>
  </si>
  <si>
    <t>Programming/logistics</t>
  </si>
  <si>
    <t>food trucks, shooting, beer, etc</t>
  </si>
  <si>
    <t>JEM Grant</t>
  </si>
  <si>
    <t>Admin</t>
  </si>
  <si>
    <t>storage</t>
  </si>
  <si>
    <t>Logistics</t>
  </si>
  <si>
    <t xml:space="preserve">Insurance, tents, pipe/drape, additional venue space, </t>
  </si>
  <si>
    <t>Mktg</t>
  </si>
  <si>
    <t xml:space="preserve"> Mrktng outsource; Directed Marketing;</t>
  </si>
  <si>
    <t>Programming</t>
  </si>
  <si>
    <t>Calling contest, shooting, dogs</t>
  </si>
  <si>
    <t>Signage</t>
  </si>
  <si>
    <t>Signage, outsource?</t>
  </si>
  <si>
    <t>Support of external programs</t>
  </si>
  <si>
    <t>Swiftwaters Sponsor commission</t>
  </si>
  <si>
    <t>Volunteers</t>
  </si>
  <si>
    <t>NET</t>
  </si>
  <si>
    <t>EXPO Fund Balance</t>
  </si>
  <si>
    <t>E</t>
  </si>
  <si>
    <t>Anna &amp; Blake pay increases</t>
  </si>
  <si>
    <t>FFLM has already provided the funding save 10% upon final report - this reflects the AJE to move $100k from deferred grant revenue into program revenue with project expense budget</t>
  </si>
  <si>
    <t>$5k grant software in January</t>
  </si>
  <si>
    <t>Employee</t>
  </si>
  <si>
    <t>Boettcher</t>
  </si>
  <si>
    <t>Heidel</t>
  </si>
  <si>
    <t>Monette</t>
  </si>
  <si>
    <t>Rosenkranz</t>
  </si>
  <si>
    <t>Seibert</t>
  </si>
  <si>
    <t>2025 Salary</t>
  </si>
  <si>
    <t>Hourly Rate</t>
  </si>
  <si>
    <t>2025 Bonus</t>
  </si>
  <si>
    <t>2026 Salary</t>
  </si>
  <si>
    <t>2026 Bonus</t>
  </si>
  <si>
    <t>Bartels</t>
  </si>
  <si>
    <t>Pfost</t>
  </si>
  <si>
    <t>Ross</t>
  </si>
  <si>
    <t>Rzchowski</t>
  </si>
  <si>
    <t>Event</t>
  </si>
  <si>
    <t>Event Month</t>
  </si>
  <si>
    <t>Income Month</t>
  </si>
  <si>
    <t>2026 Goal</t>
  </si>
  <si>
    <t>2026 Super Goal</t>
  </si>
  <si>
    <t>2026 Date</t>
  </si>
  <si>
    <t>Hangover Shoot</t>
  </si>
  <si>
    <t>Appleton/Valley</t>
  </si>
  <si>
    <t>West Allis Bash</t>
  </si>
  <si>
    <t>Green Bay</t>
  </si>
  <si>
    <t xml:space="preserve">Waukesha County </t>
  </si>
  <si>
    <t>South Suburban</t>
  </si>
  <si>
    <t>Valley Shoot</t>
  </si>
  <si>
    <t>Ozaukee Shoot</t>
  </si>
  <si>
    <t>Summer Shoot - new event</t>
  </si>
  <si>
    <t>Fox Valley Golf Outing</t>
  </si>
  <si>
    <t>State Shoot</t>
  </si>
  <si>
    <t>WWA EXPO Booth</t>
  </si>
  <si>
    <t>EXPO Banquet</t>
  </si>
  <si>
    <t>West Bend</t>
  </si>
  <si>
    <t>West Allis</t>
  </si>
  <si>
    <t>Prairie du Chien</t>
  </si>
  <si>
    <t>Fall Bash - new event</t>
  </si>
  <si>
    <t>Duck split</t>
  </si>
  <si>
    <t>SE WI Golf Outing</t>
  </si>
  <si>
    <t>New event - Location TBD (SW WI?)</t>
  </si>
  <si>
    <t>Chilton - Various raffles/drawing events</t>
  </si>
  <si>
    <t>Valley  - Calendar drawing raffles</t>
  </si>
  <si>
    <t>EOM</t>
  </si>
  <si>
    <t>WWA Christmas Bash</t>
  </si>
  <si>
    <t>Calendar</t>
  </si>
  <si>
    <t>Stand-alone Class A raffles</t>
  </si>
  <si>
    <t>Class A</t>
  </si>
  <si>
    <t>2026 Budget Draft #2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</si>
</sst>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6" formatCode="&quot;$&quot;#,##0_);[Red]\(&quot;$&quot;#,##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  <numFmt numFmtId="170" formatCode=".0"/>
    <numFmt numFmtId="171" formatCode="_(* #,##0.0_);_(* \(#,##0.0\);_(* &quot;-&quot;??_);_(@_)"/>
    <numFmt numFmtId="172" formatCode="&quot;$&quot;#,##0"/>
    <numFmt numFmtId="173" formatCode="&quot;$&quot;#,##0;[Red]&quot;$&quot;#,##0"/>
    <numFmt numFmtId="174" formatCode="_(&quot;$&quot;* #,##0_);_(&quot;$&quot;* \(#,##0\);_(&quot;$&quot;* &quot;-&quot;??_);_(@_)"/>
    <numFmt numFmtId="175" formatCode="m/d;@"/>
  </numFmts>
  <fonts count="52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b/>
      <sz val="11"/>
      <color theme="1"/>
      <name val="Calibri"/>
      <family val="2"/>
      <scheme val="minor"/>
    </font>
    <font>
      <b/>
      <i/>
      <sz val="11"/>
      <color indexed="12"/>
      <name val="Arial"/>
      <family val="2"/>
    </font>
    <font>
      <b/>
      <i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2"/>
      <color indexed="81"/>
      <name val="Tahoma"/>
      <family val="2"/>
    </font>
    <font>
      <sz val="12"/>
      <color indexed="81"/>
      <name val="Tahoma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1"/>
      <name val="Calibri"/>
      <family val="2"/>
      <scheme val="minor"/>
    </font>
    <font>
      <b/>
      <sz val="8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212230"/>
      <name val="Helvetica Neue"/>
      <family val="2"/>
    </font>
    <font>
      <i/>
      <sz val="11"/>
      <color theme="3" tint="0.39997558519241921"/>
      <name val="Calibri"/>
      <family val="2"/>
      <scheme val="minor"/>
    </font>
    <font>
      <i/>
      <sz val="11"/>
      <color rgb="FF212230"/>
      <name val="Helvetica Neue"/>
      <family val="2"/>
    </font>
    <font>
      <b/>
      <sz val="11"/>
      <color rgb="FF538DD5"/>
      <name val="Calibri"/>
      <family val="2"/>
      <scheme val="minor"/>
    </font>
    <font>
      <i/>
      <sz val="10"/>
      <color rgb="FF212230"/>
      <name val="Helvetica Neue"/>
      <family val="2"/>
    </font>
    <font>
      <i/>
      <sz val="11"/>
      <color rgb="FF00B0F0"/>
      <name val="Calibri"/>
      <family val="2"/>
      <scheme val="minor"/>
    </font>
    <font>
      <sz val="11"/>
      <color theme="3" tint="0.39997558519241921"/>
      <name val="Calibri"/>
      <family val="2"/>
      <scheme val="minor"/>
    </font>
    <font>
      <b/>
      <sz val="14"/>
      <color rgb="FF00B0F0"/>
      <name val="Calibri"/>
      <family val="2"/>
      <scheme val="minor"/>
    </font>
    <font>
      <sz val="11"/>
      <color rgb="FF00B0F0"/>
      <name val="Calibri"/>
      <family val="2"/>
      <scheme val="minor"/>
    </font>
    <font>
      <b/>
      <sz val="10"/>
      <color rgb="FF000000"/>
      <name val="Tahoma"/>
      <family val="2"/>
    </font>
    <font>
      <sz val="10"/>
      <color rgb="FF000000"/>
      <name val="Tahoma"/>
      <family val="2"/>
    </font>
    <font>
      <sz val="12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1"/>
      <color rgb="FF000000"/>
      <name val="Tahoma"/>
      <family val="2"/>
    </font>
    <font>
      <sz val="11"/>
      <name val="Calibri"/>
      <family val="2"/>
      <scheme val="minor"/>
    </font>
    <font>
      <u val="singleAccounting"/>
      <sz val="11"/>
      <name val="Calibri"/>
      <family val="2"/>
      <scheme val="minor"/>
    </font>
    <font>
      <b/>
      <u val="singleAccounting"/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2F2F2"/>
        <bgColor rgb="FF000000"/>
      </patternFill>
    </fill>
    <fill>
      <patternFill patternType="solid">
        <fgColor theme="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30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/>
      <diagonal/>
    </border>
  </borders>
  <cellStyleXfs count="9">
    <xf numFmtId="0" fontId="0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0" fontId="41" fillId="0" borderId="0"/>
    <xf numFmtId="44" fontId="41" fillId="0" borderId="0" applyFont="0" applyFill="0" applyBorder="0" applyAlignment="0" applyProtection="0"/>
  </cellStyleXfs>
  <cellXfs count="290">
    <xf numFmtId="0" fontId="0" fillId="0" borderId="0" xfId="0"/>
    <xf numFmtId="165" fontId="2" fillId="0" borderId="0" xfId="0" applyNumberFormat="1" applyFont="1"/>
    <xf numFmtId="166" fontId="0" fillId="0" borderId="0" xfId="0" applyNumberFormat="1"/>
    <xf numFmtId="165" fontId="3" fillId="0" borderId="0" xfId="0" applyNumberFormat="1" applyFont="1"/>
    <xf numFmtId="0" fontId="2" fillId="0" borderId="0" xfId="0" applyFont="1"/>
    <xf numFmtId="165" fontId="2" fillId="0" borderId="0" xfId="0" applyNumberFormat="1" applyFont="1" applyAlignment="1">
      <alignment horizontal="left" indent="2"/>
    </xf>
    <xf numFmtId="169" fontId="0" fillId="0" borderId="0" xfId="0" applyNumberFormat="1"/>
    <xf numFmtId="0" fontId="10" fillId="0" borderId="0" xfId="0" applyFont="1"/>
    <xf numFmtId="166" fontId="0" fillId="0" borderId="0" xfId="1" applyNumberFormat="1" applyFont="1"/>
    <xf numFmtId="3" fontId="2" fillId="0" borderId="8" xfId="1" applyNumberFormat="1" applyBorder="1"/>
    <xf numFmtId="3" fontId="2" fillId="0" borderId="10" xfId="1" applyNumberFormat="1" applyBorder="1"/>
    <xf numFmtId="0" fontId="2" fillId="0" borderId="0" xfId="0" applyFont="1" applyAlignment="1">
      <alignment horizontal="left"/>
    </xf>
    <xf numFmtId="0" fontId="2" fillId="0" borderId="19" xfId="0" applyFont="1" applyBorder="1"/>
    <xf numFmtId="0" fontId="2" fillId="0" borderId="18" xfId="0" applyFont="1" applyBorder="1" applyAlignment="1">
      <alignment horizontal="center"/>
    </xf>
    <xf numFmtId="172" fontId="0" fillId="0" borderId="18" xfId="0" applyNumberFormat="1" applyBorder="1"/>
    <xf numFmtId="172" fontId="0" fillId="0" borderId="19" xfId="0" applyNumberFormat="1" applyBorder="1"/>
    <xf numFmtId="6" fontId="0" fillId="0" borderId="18" xfId="0" applyNumberFormat="1" applyBorder="1"/>
    <xf numFmtId="6" fontId="0" fillId="0" borderId="19" xfId="0" applyNumberFormat="1" applyBorder="1"/>
    <xf numFmtId="0" fontId="2" fillId="0" borderId="15" xfId="0" applyFont="1" applyBorder="1" applyAlignment="1">
      <alignment horizontal="left"/>
    </xf>
    <xf numFmtId="0" fontId="2" fillId="0" borderId="15" xfId="0" applyFont="1" applyBorder="1"/>
    <xf numFmtId="0" fontId="0" fillId="0" borderId="15" xfId="0" applyBorder="1"/>
    <xf numFmtId="0" fontId="11" fillId="0" borderId="0" xfId="0" applyFont="1"/>
    <xf numFmtId="0" fontId="10" fillId="0" borderId="0" xfId="0" applyFont="1" applyAlignment="1">
      <alignment horizontal="center"/>
    </xf>
    <xf numFmtId="3" fontId="2" fillId="0" borderId="0" xfId="1" applyNumberFormat="1" applyFill="1"/>
    <xf numFmtId="3" fontId="3" fillId="0" borderId="2" xfId="1" applyNumberFormat="1" applyFont="1" applyFill="1" applyBorder="1"/>
    <xf numFmtId="167" fontId="15" fillId="0" borderId="0" xfId="2" applyNumberFormat="1" applyFont="1" applyFill="1"/>
    <xf numFmtId="3" fontId="2" fillId="0" borderId="15" xfId="1" applyNumberFormat="1" applyFill="1" applyBorder="1"/>
    <xf numFmtId="3" fontId="2" fillId="0" borderId="2" xfId="1" applyNumberFormat="1" applyFill="1" applyBorder="1"/>
    <xf numFmtId="3" fontId="3" fillId="0" borderId="0" xfId="1" applyNumberFormat="1" applyFont="1" applyFill="1"/>
    <xf numFmtId="171" fontId="2" fillId="0" borderId="0" xfId="1" applyNumberFormat="1" applyFill="1"/>
    <xf numFmtId="3" fontId="3" fillId="0" borderId="3" xfId="0" applyNumberFormat="1" applyFont="1" applyBorder="1"/>
    <xf numFmtId="3" fontId="2" fillId="0" borderId="0" xfId="1" applyNumberFormat="1" applyBorder="1"/>
    <xf numFmtId="166" fontId="2" fillId="0" borderId="0" xfId="1" applyNumberFormat="1" applyFill="1" applyAlignment="1">
      <alignment horizontal="right"/>
    </xf>
    <xf numFmtId="0" fontId="10" fillId="0" borderId="7" xfId="0" applyFont="1" applyBorder="1" applyAlignment="1">
      <alignment horizontal="right"/>
    </xf>
    <xf numFmtId="14" fontId="21" fillId="0" borderId="0" xfId="3" applyNumberFormat="1" applyFont="1" applyFill="1"/>
    <xf numFmtId="3" fontId="2" fillId="0" borderId="0" xfId="1" applyNumberFormat="1" applyFill="1" applyBorder="1"/>
    <xf numFmtId="0" fontId="0" fillId="0" borderId="0" xfId="0" applyAlignment="1">
      <alignment horizontal="right"/>
    </xf>
    <xf numFmtId="0" fontId="3" fillId="0" borderId="0" xfId="0" applyFont="1" applyAlignment="1">
      <alignment horizontal="right"/>
    </xf>
    <xf numFmtId="0" fontId="10" fillId="0" borderId="20" xfId="0" applyFont="1" applyBorder="1" applyAlignment="1">
      <alignment horizontal="right"/>
    </xf>
    <xf numFmtId="0" fontId="0" fillId="0" borderId="7" xfId="0" applyBorder="1"/>
    <xf numFmtId="0" fontId="10" fillId="0" borderId="8" xfId="0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170" fontId="10" fillId="0" borderId="7" xfId="0" applyNumberFormat="1" applyFont="1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7" xfId="0" applyBorder="1" applyAlignment="1">
      <alignment horizontal="right"/>
    </xf>
    <xf numFmtId="170" fontId="2" fillId="0" borderId="7" xfId="0" applyNumberFormat="1" applyFont="1" applyBorder="1" applyAlignment="1">
      <alignment horizontal="center"/>
    </xf>
    <xf numFmtId="3" fontId="2" fillId="0" borderId="8" xfId="1" applyNumberFormat="1" applyFill="1" applyBorder="1"/>
    <xf numFmtId="3" fontId="2" fillId="0" borderId="10" xfId="1" applyNumberFormat="1" applyFill="1" applyBorder="1"/>
    <xf numFmtId="170" fontId="0" fillId="0" borderId="7" xfId="0" applyNumberFormat="1" applyBorder="1" applyAlignment="1">
      <alignment horizontal="center"/>
    </xf>
    <xf numFmtId="3" fontId="19" fillId="0" borderId="8" xfId="1" applyNumberFormat="1" applyFont="1" applyFill="1" applyBorder="1"/>
    <xf numFmtId="3" fontId="19" fillId="0" borderId="10" xfId="1" applyNumberFormat="1" applyFont="1" applyFill="1" applyBorder="1"/>
    <xf numFmtId="170" fontId="3" fillId="0" borderId="11" xfId="0" applyNumberFormat="1" applyFont="1" applyBorder="1" applyAlignment="1">
      <alignment horizontal="center"/>
    </xf>
    <xf numFmtId="3" fontId="3" fillId="0" borderId="11" xfId="1" applyNumberFormat="1" applyFont="1" applyFill="1" applyBorder="1"/>
    <xf numFmtId="3" fontId="3" fillId="0" borderId="9" xfId="1" applyNumberFormat="1" applyFont="1" applyFill="1" applyBorder="1"/>
    <xf numFmtId="170" fontId="3" fillId="0" borderId="7" xfId="0" applyNumberFormat="1" applyFont="1" applyBorder="1" applyAlignment="1">
      <alignment horizontal="center"/>
    </xf>
    <xf numFmtId="3" fontId="20" fillId="0" borderId="8" xfId="1" applyNumberFormat="1" applyFont="1" applyFill="1" applyBorder="1"/>
    <xf numFmtId="3" fontId="20" fillId="0" borderId="10" xfId="1" applyNumberFormat="1" applyFont="1" applyFill="1" applyBorder="1"/>
    <xf numFmtId="171" fontId="19" fillId="0" borderId="8" xfId="1" applyNumberFormat="1" applyFont="1" applyFill="1" applyBorder="1"/>
    <xf numFmtId="171" fontId="19" fillId="0" borderId="10" xfId="1" applyNumberFormat="1" applyFont="1" applyFill="1" applyBorder="1"/>
    <xf numFmtId="3" fontId="19" fillId="0" borderId="12" xfId="1" applyNumberFormat="1" applyFont="1" applyFill="1" applyBorder="1"/>
    <xf numFmtId="170" fontId="3" fillId="0" borderId="13" xfId="0" applyNumberFormat="1" applyFont="1" applyBorder="1" applyAlignment="1">
      <alignment horizontal="center"/>
    </xf>
    <xf numFmtId="167" fontId="15" fillId="0" borderId="8" xfId="2" applyNumberFormat="1" applyFont="1" applyFill="1" applyBorder="1"/>
    <xf numFmtId="167" fontId="15" fillId="0" borderId="10" xfId="2" applyNumberFormat="1" applyFont="1" applyFill="1" applyBorder="1"/>
    <xf numFmtId="170" fontId="12" fillId="0" borderId="7" xfId="0" applyNumberFormat="1" applyFont="1" applyBorder="1" applyAlignment="1">
      <alignment horizontal="left"/>
    </xf>
    <xf numFmtId="0" fontId="2" fillId="0" borderId="8" xfId="0" applyFont="1" applyBorder="1" applyAlignment="1">
      <alignment horizontal="center"/>
    </xf>
    <xf numFmtId="170" fontId="2" fillId="0" borderId="8" xfId="0" applyNumberFormat="1" applyFont="1" applyBorder="1" applyAlignment="1">
      <alignment horizontal="center"/>
    </xf>
    <xf numFmtId="3" fontId="2" fillId="0" borderId="14" xfId="1" applyNumberFormat="1" applyFill="1" applyBorder="1"/>
    <xf numFmtId="3" fontId="2" fillId="0" borderId="12" xfId="1" applyNumberFormat="1" applyFill="1" applyBorder="1"/>
    <xf numFmtId="170" fontId="12" fillId="0" borderId="7" xfId="0" applyNumberFormat="1" applyFont="1" applyBorder="1" applyAlignment="1">
      <alignment horizontal="center"/>
    </xf>
    <xf numFmtId="3" fontId="3" fillId="0" borderId="10" xfId="1" applyNumberFormat="1" applyFont="1" applyFill="1" applyBorder="1"/>
    <xf numFmtId="167" fontId="2" fillId="0" borderId="10" xfId="2" applyNumberFormat="1" applyFill="1" applyBorder="1"/>
    <xf numFmtId="170" fontId="21" fillId="0" borderId="7" xfId="0" applyNumberFormat="1" applyFont="1" applyBorder="1" applyAlignment="1">
      <alignment horizontal="center"/>
    </xf>
    <xf numFmtId="170" fontId="21" fillId="0" borderId="7" xfId="0" applyNumberFormat="1" applyFont="1" applyBorder="1" applyAlignment="1">
      <alignment horizontal="left"/>
    </xf>
    <xf numFmtId="170" fontId="21" fillId="0" borderId="8" xfId="0" applyNumberFormat="1" applyFont="1" applyBorder="1" applyAlignment="1">
      <alignment horizontal="center"/>
    </xf>
    <xf numFmtId="3" fontId="2" fillId="0" borderId="11" xfId="1" applyNumberFormat="1" applyFill="1" applyBorder="1"/>
    <xf numFmtId="170" fontId="3" fillId="0" borderId="8" xfId="0" applyNumberFormat="1" applyFont="1" applyBorder="1" applyAlignment="1">
      <alignment horizontal="center"/>
    </xf>
    <xf numFmtId="3" fontId="3" fillId="0" borderId="8" xfId="1" applyNumberFormat="1" applyFont="1" applyFill="1" applyBorder="1"/>
    <xf numFmtId="171" fontId="2" fillId="0" borderId="14" xfId="1" applyNumberFormat="1" applyFill="1" applyBorder="1"/>
    <xf numFmtId="171" fontId="2" fillId="0" borderId="10" xfId="1" applyNumberFormat="1" applyFill="1" applyBorder="1"/>
    <xf numFmtId="170" fontId="3" fillId="0" borderId="4" xfId="0" applyNumberFormat="1" applyFont="1" applyBorder="1" applyAlignment="1">
      <alignment horizontal="center"/>
    </xf>
    <xf numFmtId="3" fontId="3" fillId="0" borderId="16" xfId="0" applyNumberFormat="1" applyFont="1" applyBorder="1"/>
    <xf numFmtId="3" fontId="3" fillId="0" borderId="17" xfId="0" applyNumberFormat="1" applyFont="1" applyBorder="1"/>
    <xf numFmtId="0" fontId="2" fillId="0" borderId="0" xfId="0" applyFont="1" applyAlignment="1">
      <alignment horizontal="right"/>
    </xf>
    <xf numFmtId="166" fontId="5" fillId="0" borderId="0" xfId="1" applyNumberFormat="1" applyFont="1" applyFill="1"/>
    <xf numFmtId="0" fontId="3" fillId="0" borderId="0" xfId="0" applyFont="1"/>
    <xf numFmtId="166" fontId="19" fillId="0" borderId="0" xfId="1" applyNumberFormat="1" applyFont="1" applyFill="1" applyAlignment="1">
      <alignment horizontal="right"/>
    </xf>
    <xf numFmtId="166" fontId="9" fillId="0" borderId="0" xfId="1" applyNumberFormat="1" applyFont="1" applyFill="1" applyAlignment="1">
      <alignment horizontal="right"/>
    </xf>
    <xf numFmtId="167" fontId="2" fillId="0" borderId="0" xfId="2" applyNumberFormat="1" applyFill="1"/>
    <xf numFmtId="166" fontId="3" fillId="0" borderId="2" xfId="1" applyNumberFormat="1" applyFont="1" applyFill="1" applyBorder="1"/>
    <xf numFmtId="166" fontId="3" fillId="0" borderId="0" xfId="1" applyNumberFormat="1" applyFont="1" applyFill="1"/>
    <xf numFmtId="166" fontId="20" fillId="0" borderId="0" xfId="1" applyNumberFormat="1" applyFont="1" applyFill="1"/>
    <xf numFmtId="166" fontId="3" fillId="0" borderId="2" xfId="1" applyNumberFormat="1" applyFont="1" applyFill="1" applyBorder="1" applyAlignment="1">
      <alignment horizontal="right"/>
    </xf>
    <xf numFmtId="166" fontId="20" fillId="0" borderId="0" xfId="1" applyNumberFormat="1" applyFont="1" applyFill="1" applyAlignment="1">
      <alignment horizontal="right"/>
    </xf>
    <xf numFmtId="166" fontId="3" fillId="0" borderId="3" xfId="1" applyNumberFormat="1" applyFont="1" applyFill="1" applyBorder="1"/>
    <xf numFmtId="166" fontId="19" fillId="0" borderId="0" xfId="1" applyNumberFormat="1" applyFont="1" applyFill="1"/>
    <xf numFmtId="3" fontId="3" fillId="0" borderId="0" xfId="0" applyNumberFormat="1" applyFont="1"/>
    <xf numFmtId="3" fontId="2" fillId="0" borderId="8" xfId="1" applyNumberFormat="1" applyFont="1" applyBorder="1"/>
    <xf numFmtId="3" fontId="2" fillId="0" borderId="0" xfId="1" applyNumberFormat="1" applyFont="1" applyBorder="1"/>
    <xf numFmtId="3" fontId="19" fillId="0" borderId="0" xfId="1" applyNumberFormat="1" applyFont="1" applyFill="1" applyBorder="1"/>
    <xf numFmtId="3" fontId="20" fillId="0" borderId="0" xfId="1" applyNumberFormat="1" applyFont="1" applyFill="1" applyBorder="1"/>
    <xf numFmtId="171" fontId="19" fillId="0" borderId="0" xfId="1" applyNumberFormat="1" applyFont="1" applyFill="1" applyBorder="1"/>
    <xf numFmtId="167" fontId="15" fillId="0" borderId="0" xfId="2" applyNumberFormat="1" applyFont="1" applyFill="1" applyBorder="1"/>
    <xf numFmtId="44" fontId="0" fillId="0" borderId="0" xfId="3" applyFont="1" applyFill="1"/>
    <xf numFmtId="44" fontId="12" fillId="0" borderId="0" xfId="3" applyFont="1" applyFill="1"/>
    <xf numFmtId="44" fontId="2" fillId="0" borderId="0" xfId="3" applyFont="1" applyFill="1"/>
    <xf numFmtId="3" fontId="2" fillId="0" borderId="0" xfId="1" applyNumberFormat="1" applyFont="1" applyFill="1" applyBorder="1"/>
    <xf numFmtId="0" fontId="14" fillId="0" borderId="5" xfId="0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14" fillId="0" borderId="6" xfId="0" applyFont="1" applyBorder="1" applyAlignment="1">
      <alignment horizontal="center"/>
    </xf>
    <xf numFmtId="3" fontId="11" fillId="0" borderId="0" xfId="1" applyNumberFormat="1" applyFont="1" applyFill="1" applyBorder="1"/>
    <xf numFmtId="3" fontId="2" fillId="0" borderId="8" xfId="1" applyNumberFormat="1" applyFont="1" applyFill="1" applyBorder="1"/>
    <xf numFmtId="3" fontId="2" fillId="0" borderId="21" xfId="1" applyNumberFormat="1" applyFont="1" applyFill="1" applyBorder="1"/>
    <xf numFmtId="3" fontId="3" fillId="0" borderId="22" xfId="1" applyNumberFormat="1" applyFont="1" applyFill="1" applyBorder="1"/>
    <xf numFmtId="3" fontId="3" fillId="0" borderId="21" xfId="1" applyNumberFormat="1" applyFont="1" applyFill="1" applyBorder="1"/>
    <xf numFmtId="171" fontId="2" fillId="0" borderId="21" xfId="1" applyNumberFormat="1" applyFont="1" applyFill="1" applyBorder="1"/>
    <xf numFmtId="167" fontId="15" fillId="0" borderId="21" xfId="2" applyNumberFormat="1" applyFont="1" applyFill="1" applyBorder="1"/>
    <xf numFmtId="3" fontId="11" fillId="0" borderId="21" xfId="1" applyNumberFormat="1" applyFont="1" applyFill="1" applyBorder="1"/>
    <xf numFmtId="3" fontId="3" fillId="0" borderId="23" xfId="0" applyNumberFormat="1" applyFont="1" applyBorder="1"/>
    <xf numFmtId="0" fontId="12" fillId="0" borderId="0" xfId="0" applyFont="1"/>
    <xf numFmtId="44" fontId="0" fillId="0" borderId="0" xfId="0" applyNumberFormat="1"/>
    <xf numFmtId="0" fontId="21" fillId="0" borderId="0" xfId="0" applyFont="1"/>
    <xf numFmtId="44" fontId="3" fillId="0" borderId="0" xfId="3" applyFont="1" applyFill="1"/>
    <xf numFmtId="44" fontId="21" fillId="0" borderId="0" xfId="3" applyFont="1" applyFill="1"/>
    <xf numFmtId="0" fontId="19" fillId="0" borderId="0" xfId="0" applyFont="1"/>
    <xf numFmtId="44" fontId="19" fillId="0" borderId="0" xfId="3" applyFont="1" applyFill="1"/>
    <xf numFmtId="165" fontId="5" fillId="0" borderId="0" xfId="0" applyNumberFormat="1" applyFont="1"/>
    <xf numFmtId="17" fontId="4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4" fontId="7" fillId="0" borderId="0" xfId="0" applyNumberFormat="1" applyFont="1" applyAlignment="1">
      <alignment horizontal="center"/>
    </xf>
    <xf numFmtId="165" fontId="20" fillId="0" borderId="0" xfId="0" applyNumberFormat="1" applyFont="1"/>
    <xf numFmtId="166" fontId="2" fillId="0" borderId="0" xfId="0" applyNumberFormat="1" applyFont="1"/>
    <xf numFmtId="166" fontId="3" fillId="0" borderId="0" xfId="1" applyNumberFormat="1" applyFont="1" applyFill="1" applyAlignment="1">
      <alignment horizontal="right"/>
    </xf>
    <xf numFmtId="166" fontId="2" fillId="0" borderId="0" xfId="1" applyNumberFormat="1" applyFill="1"/>
    <xf numFmtId="3" fontId="2" fillId="0" borderId="9" xfId="1" applyNumberFormat="1" applyFont="1" applyFill="1" applyBorder="1"/>
    <xf numFmtId="3" fontId="11" fillId="0" borderId="8" xfId="1" applyNumberFormat="1" applyFont="1" applyFill="1" applyBorder="1"/>
    <xf numFmtId="170" fontId="2" fillId="2" borderId="7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165" fontId="6" fillId="0" borderId="0" xfId="0" applyNumberFormat="1" applyFont="1"/>
    <xf numFmtId="165" fontId="2" fillId="0" borderId="0" xfId="0" applyNumberFormat="1" applyFont="1" applyAlignment="1">
      <alignment horizontal="left" indent="1"/>
    </xf>
    <xf numFmtId="0" fontId="8" fillId="0" borderId="0" xfId="0" applyFont="1"/>
    <xf numFmtId="166" fontId="2" fillId="0" borderId="0" xfId="1" applyNumberFormat="1" applyFont="1" applyFill="1" applyAlignment="1">
      <alignment horizontal="right"/>
    </xf>
    <xf numFmtId="165" fontId="2" fillId="2" borderId="0" xfId="0" applyNumberFormat="1" applyFont="1" applyFill="1" applyAlignment="1">
      <alignment horizontal="left" indent="1"/>
    </xf>
    <xf numFmtId="0" fontId="25" fillId="0" borderId="0" xfId="5" applyFont="1" applyAlignment="1">
      <alignment horizontal="center"/>
    </xf>
    <xf numFmtId="173" fontId="26" fillId="0" borderId="0" xfId="5" applyNumberFormat="1" applyFont="1" applyAlignment="1">
      <alignment horizontal="center"/>
    </xf>
    <xf numFmtId="173" fontId="1" fillId="0" borderId="0" xfId="5" applyNumberFormat="1" applyAlignment="1">
      <alignment horizontal="center" wrapText="1"/>
    </xf>
    <xf numFmtId="0" fontId="26" fillId="4" borderId="18" xfId="5" applyFont="1" applyFill="1" applyBorder="1" applyAlignment="1">
      <alignment horizontal="center"/>
    </xf>
    <xf numFmtId="0" fontId="26" fillId="0" borderId="0" xfId="5" applyFont="1" applyAlignment="1">
      <alignment horizontal="center"/>
    </xf>
    <xf numFmtId="0" fontId="27" fillId="0" borderId="18" xfId="5" applyFont="1" applyBorder="1"/>
    <xf numFmtId="173" fontId="27" fillId="0" borderId="18" xfId="5" applyNumberFormat="1" applyFont="1" applyBorder="1"/>
    <xf numFmtId="174" fontId="27" fillId="0" borderId="18" xfId="6" applyNumberFormat="1" applyFont="1" applyBorder="1"/>
    <xf numFmtId="174" fontId="27" fillId="0" borderId="18" xfId="6" applyNumberFormat="1" applyFont="1" applyBorder="1" applyAlignment="1">
      <alignment horizontal="center"/>
    </xf>
    <xf numFmtId="0" fontId="27" fillId="0" borderId="24" xfId="5" applyFont="1" applyBorder="1"/>
    <xf numFmtId="0" fontId="12" fillId="5" borderId="1" xfId="5" applyFont="1" applyFill="1" applyBorder="1"/>
    <xf numFmtId="170" fontId="12" fillId="5" borderId="5" xfId="5" applyNumberFormat="1" applyFont="1" applyFill="1" applyBorder="1" applyAlignment="1">
      <alignment horizontal="left"/>
    </xf>
    <xf numFmtId="174" fontId="12" fillId="5" borderId="18" xfId="6" applyNumberFormat="1" applyFont="1" applyFill="1" applyBorder="1" applyAlignment="1">
      <alignment horizontal="left"/>
    </xf>
    <xf numFmtId="174" fontId="12" fillId="5" borderId="18" xfId="6" applyNumberFormat="1" applyFont="1" applyFill="1" applyBorder="1"/>
    <xf numFmtId="174" fontId="12" fillId="5" borderId="25" xfId="6" applyNumberFormat="1" applyFont="1" applyFill="1" applyBorder="1"/>
    <xf numFmtId="174" fontId="12" fillId="5" borderId="25" xfId="6" applyNumberFormat="1" applyFont="1" applyFill="1" applyBorder="1" applyAlignment="1">
      <alignment horizontal="center"/>
    </xf>
    <xf numFmtId="0" fontId="12" fillId="5" borderId="18" xfId="5" applyFont="1" applyFill="1" applyBorder="1"/>
    <xf numFmtId="0" fontId="28" fillId="0" borderId="0" xfId="5" applyFont="1" applyAlignment="1">
      <alignment horizontal="right"/>
    </xf>
    <xf numFmtId="0" fontId="29" fillId="0" borderId="18" xfId="5" applyFont="1" applyBorder="1" applyAlignment="1">
      <alignment horizontal="right"/>
    </xf>
    <xf numFmtId="174" fontId="30" fillId="0" borderId="18" xfId="6" applyNumberFormat="1" applyFont="1" applyBorder="1" applyAlignment="1">
      <alignment horizontal="right"/>
    </xf>
    <xf numFmtId="174" fontId="29" fillId="0" borderId="18" xfId="6" applyNumberFormat="1" applyFont="1" applyBorder="1" applyAlignment="1">
      <alignment horizontal="right"/>
    </xf>
    <xf numFmtId="174" fontId="29" fillId="0" borderId="18" xfId="6" applyNumberFormat="1" applyFont="1" applyFill="1" applyBorder="1" applyAlignment="1">
      <alignment horizontal="right"/>
    </xf>
    <xf numFmtId="174" fontId="29" fillId="0" borderId="18" xfId="6" applyNumberFormat="1" applyFont="1" applyBorder="1" applyAlignment="1">
      <alignment horizontal="center"/>
    </xf>
    <xf numFmtId="174" fontId="29" fillId="0" borderId="18" xfId="6" applyNumberFormat="1" applyFont="1" applyBorder="1"/>
    <xf numFmtId="0" fontId="29" fillId="0" borderId="0" xfId="5" applyFont="1" applyAlignment="1">
      <alignment horizontal="right"/>
    </xf>
    <xf numFmtId="0" fontId="29" fillId="3" borderId="18" xfId="5" applyFont="1" applyFill="1" applyBorder="1" applyAlignment="1">
      <alignment horizontal="right"/>
    </xf>
    <xf numFmtId="174" fontId="29" fillId="0" borderId="0" xfId="6" applyNumberFormat="1" applyFont="1" applyFill="1" applyBorder="1" applyAlignment="1">
      <alignment horizontal="right"/>
    </xf>
    <xf numFmtId="174" fontId="31" fillId="0" borderId="18" xfId="6" applyNumberFormat="1" applyFont="1" applyBorder="1" applyAlignment="1">
      <alignment horizontal="right"/>
    </xf>
    <xf numFmtId="174" fontId="31" fillId="0" borderId="18" xfId="6" applyNumberFormat="1" applyFont="1" applyBorder="1" applyAlignment="1">
      <alignment horizontal="center"/>
    </xf>
    <xf numFmtId="0" fontId="28" fillId="0" borderId="0" xfId="5" applyFont="1"/>
    <xf numFmtId="0" fontId="29" fillId="0" borderId="0" xfId="5" applyFont="1"/>
    <xf numFmtId="174" fontId="31" fillId="0" borderId="18" xfId="6" applyNumberFormat="1" applyFont="1" applyBorder="1"/>
    <xf numFmtId="0" fontId="29" fillId="0" borderId="18" xfId="5" applyFont="1" applyBorder="1"/>
    <xf numFmtId="174" fontId="30" fillId="3" borderId="18" xfId="6" applyNumberFormat="1" applyFont="1" applyFill="1" applyBorder="1" applyAlignment="1">
      <alignment horizontal="right"/>
    </xf>
    <xf numFmtId="174" fontId="29" fillId="0" borderId="26" xfId="6" applyNumberFormat="1" applyFont="1" applyBorder="1"/>
    <xf numFmtId="0" fontId="29" fillId="0" borderId="26" xfId="5" applyFont="1" applyBorder="1"/>
    <xf numFmtId="174" fontId="12" fillId="5" borderId="18" xfId="6" applyNumberFormat="1" applyFont="1" applyFill="1" applyBorder="1" applyAlignment="1">
      <alignment horizontal="center"/>
    </xf>
    <xf numFmtId="174" fontId="29" fillId="0" borderId="25" xfId="6" applyNumberFormat="1" applyFont="1" applyBorder="1"/>
    <xf numFmtId="174" fontId="31" fillId="0" borderId="25" xfId="6" applyNumberFormat="1" applyFont="1" applyBorder="1"/>
    <xf numFmtId="174" fontId="31" fillId="0" borderId="25" xfId="6" applyNumberFormat="1" applyFont="1" applyBorder="1" applyAlignment="1">
      <alignment horizontal="center"/>
    </xf>
    <xf numFmtId="0" fontId="29" fillId="0" borderId="25" xfId="5" applyFont="1" applyBorder="1"/>
    <xf numFmtId="174" fontId="32" fillId="0" borderId="18" xfId="6" applyNumberFormat="1" applyFont="1" applyBorder="1" applyAlignment="1">
      <alignment horizontal="right"/>
    </xf>
    <xf numFmtId="174" fontId="29" fillId="0" borderId="18" xfId="6" applyNumberFormat="1" applyFont="1" applyFill="1" applyBorder="1"/>
    <xf numFmtId="174" fontId="29" fillId="3" borderId="18" xfId="6" applyNumberFormat="1" applyFont="1" applyFill="1" applyBorder="1"/>
    <xf numFmtId="6" fontId="29" fillId="0" borderId="18" xfId="5" applyNumberFormat="1" applyFont="1" applyBorder="1"/>
    <xf numFmtId="170" fontId="29" fillId="0" borderId="18" xfId="5" applyNumberFormat="1" applyFont="1" applyBorder="1" applyAlignment="1">
      <alignment horizontal="right"/>
    </xf>
    <xf numFmtId="174" fontId="30" fillId="0" borderId="27" xfId="6" applyNumberFormat="1" applyFont="1" applyBorder="1" applyAlignment="1">
      <alignment horizontal="right"/>
    </xf>
    <xf numFmtId="170" fontId="12" fillId="5" borderId="4" xfId="5" applyNumberFormat="1" applyFont="1" applyFill="1" applyBorder="1" applyAlignment="1">
      <alignment horizontal="left"/>
    </xf>
    <xf numFmtId="174" fontId="12" fillId="5" borderId="1" xfId="6" applyNumberFormat="1" applyFont="1" applyFill="1" applyBorder="1" applyAlignment="1">
      <alignment horizontal="left"/>
    </xf>
    <xf numFmtId="174" fontId="33" fillId="6" borderId="25" xfId="5" applyNumberFormat="1" applyFont="1" applyFill="1" applyBorder="1"/>
    <xf numFmtId="174" fontId="12" fillId="6" borderId="25" xfId="5" applyNumberFormat="1" applyFont="1" applyFill="1" applyBorder="1" applyAlignment="1">
      <alignment horizontal="center"/>
    </xf>
    <xf numFmtId="0" fontId="12" fillId="5" borderId="0" xfId="5" applyFont="1" applyFill="1"/>
    <xf numFmtId="0" fontId="34" fillId="0" borderId="18" xfId="5" applyFont="1" applyBorder="1" applyAlignment="1">
      <alignment horizontal="right"/>
    </xf>
    <xf numFmtId="174" fontId="35" fillId="0" borderId="18" xfId="6" applyNumberFormat="1" applyFont="1" applyBorder="1"/>
    <xf numFmtId="174" fontId="35" fillId="0" borderId="18" xfId="6" applyNumberFormat="1" applyFont="1" applyBorder="1" applyAlignment="1">
      <alignment horizontal="center"/>
    </xf>
    <xf numFmtId="0" fontId="1" fillId="5" borderId="0" xfId="5" applyFill="1"/>
    <xf numFmtId="0" fontId="12" fillId="7" borderId="0" xfId="5" applyFont="1" applyFill="1"/>
    <xf numFmtId="0" fontId="1" fillId="7" borderId="0" xfId="5" applyFill="1"/>
    <xf numFmtId="0" fontId="36" fillId="7" borderId="0" xfId="5" applyFont="1" applyFill="1"/>
    <xf numFmtId="0" fontId="36" fillId="7" borderId="0" xfId="5" applyFont="1" applyFill="1" applyAlignment="1">
      <alignment horizontal="center"/>
    </xf>
    <xf numFmtId="0" fontId="26" fillId="7" borderId="0" xfId="5" applyFont="1" applyFill="1" applyAlignment="1">
      <alignment horizontal="center"/>
    </xf>
    <xf numFmtId="0" fontId="12" fillId="5" borderId="15" xfId="5" applyFont="1" applyFill="1" applyBorder="1"/>
    <xf numFmtId="170" fontId="12" fillId="5" borderId="28" xfId="5" applyNumberFormat="1" applyFont="1" applyFill="1" applyBorder="1" applyAlignment="1">
      <alignment horizontal="left"/>
    </xf>
    <xf numFmtId="170" fontId="12" fillId="5" borderId="15" xfId="5" applyNumberFormat="1" applyFont="1" applyFill="1" applyBorder="1" applyAlignment="1">
      <alignment horizontal="left"/>
    </xf>
    <xf numFmtId="0" fontId="12" fillId="5" borderId="25" xfId="5" applyFont="1" applyFill="1" applyBorder="1"/>
    <xf numFmtId="0" fontId="12" fillId="0" borderId="18" xfId="5" applyFont="1" applyBorder="1"/>
    <xf numFmtId="0" fontId="12" fillId="0" borderId="0" xfId="5" applyFont="1"/>
    <xf numFmtId="173" fontId="1" fillId="0" borderId="0" xfId="5" applyNumberFormat="1"/>
    <xf numFmtId="0" fontId="1" fillId="0" borderId="0" xfId="5"/>
    <xf numFmtId="0" fontId="1" fillId="0" borderId="0" xfId="5" applyAlignment="1">
      <alignment horizontal="center"/>
    </xf>
    <xf numFmtId="0" fontId="37" fillId="0" borderId="0" xfId="5" applyFont="1"/>
    <xf numFmtId="0" fontId="27" fillId="0" borderId="0" xfId="5" applyFont="1"/>
    <xf numFmtId="174" fontId="37" fillId="0" borderId="0" xfId="5" applyNumberFormat="1" applyFont="1" applyAlignment="1">
      <alignment wrapText="1"/>
    </xf>
    <xf numFmtId="0" fontId="38" fillId="0" borderId="0" xfId="5" applyFont="1" applyAlignment="1">
      <alignment horizontal="center"/>
    </xf>
    <xf numFmtId="0" fontId="42" fillId="8" borderId="0" xfId="7" applyFont="1" applyFill="1"/>
    <xf numFmtId="44" fontId="42" fillId="8" borderId="18" xfId="8" applyFont="1" applyFill="1" applyBorder="1"/>
    <xf numFmtId="0" fontId="42" fillId="8" borderId="18" xfId="7" applyFont="1" applyFill="1" applyBorder="1" applyAlignment="1">
      <alignment wrapText="1"/>
    </xf>
    <xf numFmtId="174" fontId="43" fillId="9" borderId="18" xfId="8" applyNumberFormat="1" applyFont="1" applyFill="1" applyBorder="1" applyAlignment="1">
      <alignment horizontal="right"/>
    </xf>
    <xf numFmtId="0" fontId="44" fillId="5" borderId="18" xfId="7" applyFont="1" applyFill="1" applyBorder="1"/>
    <xf numFmtId="0" fontId="45" fillId="0" borderId="0" xfId="7" applyFont="1"/>
    <xf numFmtId="0" fontId="43" fillId="0" borderId="0" xfId="7" applyFont="1"/>
    <xf numFmtId="44" fontId="43" fillId="4" borderId="18" xfId="8" applyFont="1" applyFill="1" applyBorder="1"/>
    <xf numFmtId="0" fontId="43" fillId="4" borderId="18" xfId="7" applyFont="1" applyFill="1" applyBorder="1" applyAlignment="1">
      <alignment wrapText="1"/>
    </xf>
    <xf numFmtId="174" fontId="43" fillId="4" borderId="18" xfId="7" applyNumberFormat="1" applyFont="1" applyFill="1" applyBorder="1" applyAlignment="1">
      <alignment wrapText="1"/>
    </xf>
    <xf numFmtId="174" fontId="43" fillId="4" borderId="18" xfId="8" applyNumberFormat="1" applyFont="1" applyFill="1" applyBorder="1"/>
    <xf numFmtId="174" fontId="43" fillId="9" borderId="18" xfId="8" applyNumberFormat="1" applyFont="1" applyFill="1" applyBorder="1"/>
    <xf numFmtId="44" fontId="43" fillId="5" borderId="18" xfId="8" applyFont="1" applyFill="1" applyBorder="1"/>
    <xf numFmtId="0" fontId="44" fillId="0" borderId="0" xfId="7" applyFont="1"/>
    <xf numFmtId="44" fontId="46" fillId="0" borderId="18" xfId="8" applyFont="1" applyBorder="1"/>
    <xf numFmtId="0" fontId="44" fillId="0" borderId="18" xfId="7" applyFont="1" applyBorder="1" applyAlignment="1">
      <alignment wrapText="1"/>
    </xf>
    <xf numFmtId="174" fontId="44" fillId="0" borderId="18" xfId="8" applyNumberFormat="1" applyFont="1" applyBorder="1" applyAlignment="1">
      <alignment wrapText="1"/>
    </xf>
    <xf numFmtId="174" fontId="44" fillId="3" borderId="18" xfId="8" applyNumberFormat="1" applyFont="1" applyFill="1" applyBorder="1" applyAlignment="1">
      <alignment wrapText="1"/>
    </xf>
    <xf numFmtId="174" fontId="44" fillId="9" borderId="18" xfId="8" applyNumberFormat="1" applyFont="1" applyFill="1" applyBorder="1"/>
    <xf numFmtId="174" fontId="43" fillId="4" borderId="18" xfId="8" applyNumberFormat="1" applyFont="1" applyFill="1" applyBorder="1" applyAlignment="1">
      <alignment wrapText="1"/>
    </xf>
    <xf numFmtId="0" fontId="44" fillId="0" borderId="0" xfId="7" applyFont="1" applyAlignment="1">
      <alignment horizontal="right"/>
    </xf>
    <xf numFmtId="0" fontId="46" fillId="0" borderId="0" xfId="7" applyFont="1"/>
    <xf numFmtId="44" fontId="47" fillId="0" borderId="18" xfId="8" applyFont="1" applyBorder="1"/>
    <xf numFmtId="0" fontId="41" fillId="0" borderId="18" xfId="7" applyBorder="1" applyAlignment="1">
      <alignment wrapText="1"/>
    </xf>
    <xf numFmtId="174" fontId="0" fillId="0" borderId="18" xfId="8" applyNumberFormat="1" applyFont="1" applyBorder="1" applyAlignment="1">
      <alignment wrapText="1"/>
    </xf>
    <xf numFmtId="174" fontId="0" fillId="9" borderId="18" xfId="8" applyNumberFormat="1" applyFont="1" applyFill="1" applyBorder="1"/>
    <xf numFmtId="0" fontId="41" fillId="5" borderId="18" xfId="7" applyFill="1" applyBorder="1"/>
    <xf numFmtId="0" fontId="41" fillId="0" borderId="0" xfId="7"/>
    <xf numFmtId="0" fontId="45" fillId="4" borderId="18" xfId="7" applyFont="1" applyFill="1" applyBorder="1" applyAlignment="1">
      <alignment wrapText="1"/>
    </xf>
    <xf numFmtId="174" fontId="45" fillId="4" borderId="18" xfId="8" applyNumberFormat="1" applyFont="1" applyFill="1" applyBorder="1" applyAlignment="1">
      <alignment wrapText="1"/>
    </xf>
    <xf numFmtId="44" fontId="47" fillId="0" borderId="0" xfId="8" applyFont="1"/>
    <xf numFmtId="0" fontId="41" fillId="0" borderId="0" xfId="7" applyAlignment="1">
      <alignment wrapText="1"/>
    </xf>
    <xf numFmtId="174" fontId="0" fillId="0" borderId="0" xfId="8" applyNumberFormat="1" applyFont="1"/>
    <xf numFmtId="165" fontId="2" fillId="2" borderId="0" xfId="0" applyNumberFormat="1" applyFont="1" applyFill="1"/>
    <xf numFmtId="164" fontId="13" fillId="0" borderId="4" xfId="0" applyNumberFormat="1" applyFont="1" applyBorder="1" applyAlignment="1">
      <alignment horizontal="center"/>
    </xf>
    <xf numFmtId="0" fontId="12" fillId="2" borderId="0" xfId="0" applyFont="1" applyFill="1"/>
    <xf numFmtId="44" fontId="12" fillId="0" borderId="0" xfId="0" applyNumberFormat="1" applyFont="1"/>
    <xf numFmtId="0" fontId="12" fillId="0" borderId="18" xfId="0" applyFont="1" applyBorder="1"/>
    <xf numFmtId="0" fontId="12" fillId="0" borderId="26" xfId="0" applyFont="1" applyBorder="1"/>
    <xf numFmtId="0" fontId="0" fillId="0" borderId="18" xfId="0" applyBorder="1"/>
    <xf numFmtId="44" fontId="0" fillId="0" borderId="18" xfId="3" applyFont="1" applyBorder="1"/>
    <xf numFmtId="0" fontId="0" fillId="0" borderId="19" xfId="0" applyBorder="1"/>
    <xf numFmtId="0" fontId="0" fillId="0" borderId="25" xfId="0" applyBorder="1"/>
    <xf numFmtId="0" fontId="21" fillId="0" borderId="18" xfId="0" applyFont="1" applyBorder="1" applyAlignment="1">
      <alignment horizontal="left" wrapText="1"/>
    </xf>
    <xf numFmtId="0" fontId="21" fillId="0" borderId="18" xfId="3" applyNumberFormat="1" applyFont="1" applyBorder="1" applyAlignment="1">
      <alignment horizontal="left" wrapText="1"/>
    </xf>
    <xf numFmtId="175" fontId="21" fillId="0" borderId="0" xfId="0" applyNumberFormat="1" applyFont="1" applyAlignment="1">
      <alignment horizontal="left" wrapText="1"/>
    </xf>
    <xf numFmtId="0" fontId="21" fillId="0" borderId="29" xfId="3" applyNumberFormat="1" applyFont="1" applyFill="1" applyBorder="1" applyAlignment="1">
      <alignment horizontal="left" wrapText="1"/>
    </xf>
    <xf numFmtId="0" fontId="49" fillId="0" borderId="18" xfId="0" applyFont="1" applyBorder="1" applyAlignment="1">
      <alignment horizontal="left" wrapText="1"/>
    </xf>
    <xf numFmtId="44" fontId="49" fillId="0" borderId="18" xfId="3" applyFont="1" applyBorder="1" applyAlignment="1">
      <alignment horizontal="left" wrapText="1"/>
    </xf>
    <xf numFmtId="175" fontId="49" fillId="0" borderId="0" xfId="0" applyNumberFormat="1" applyFont="1" applyAlignment="1">
      <alignment horizontal="left" wrapText="1"/>
    </xf>
    <xf numFmtId="0" fontId="49" fillId="0" borderId="0" xfId="3" applyNumberFormat="1" applyFont="1" applyFill="1" applyBorder="1" applyAlignment="1">
      <alignment horizontal="left" wrapText="1"/>
    </xf>
    <xf numFmtId="0" fontId="49" fillId="0" borderId="18" xfId="0" applyFont="1" applyBorder="1"/>
    <xf numFmtId="44" fontId="49" fillId="0" borderId="18" xfId="3" applyFont="1" applyBorder="1"/>
    <xf numFmtId="175" fontId="49" fillId="0" borderId="0" xfId="0" applyNumberFormat="1" applyFont="1" applyAlignment="1">
      <alignment horizontal="left"/>
    </xf>
    <xf numFmtId="44" fontId="49" fillId="0" borderId="18" xfId="3" applyFont="1" applyBorder="1" applyAlignment="1">
      <alignment wrapText="1"/>
    </xf>
    <xf numFmtId="0" fontId="21" fillId="0" borderId="2" xfId="0" applyFont="1" applyBorder="1"/>
    <xf numFmtId="44" fontId="21" fillId="0" borderId="0" xfId="3" applyFont="1"/>
    <xf numFmtId="175" fontId="21" fillId="0" borderId="0" xfId="0" applyNumberFormat="1" applyFont="1" applyAlignment="1">
      <alignment horizontal="left"/>
    </xf>
    <xf numFmtId="0" fontId="21" fillId="0" borderId="18" xfId="0" applyFont="1" applyBorder="1"/>
    <xf numFmtId="44" fontId="50" fillId="0" borderId="18" xfId="3" applyFont="1" applyBorder="1"/>
    <xf numFmtId="44" fontId="49" fillId="0" borderId="0" xfId="3" applyFont="1" applyBorder="1"/>
    <xf numFmtId="0" fontId="49" fillId="0" borderId="0" xfId="0" applyFont="1"/>
    <xf numFmtId="44" fontId="49" fillId="0" borderId="0" xfId="3" applyFont="1"/>
    <xf numFmtId="44" fontId="0" fillId="0" borderId="0" xfId="3" applyFont="1" applyBorder="1"/>
    <xf numFmtId="175" fontId="0" fillId="0" borderId="0" xfId="0" applyNumberFormat="1"/>
    <xf numFmtId="44" fontId="0" fillId="0" borderId="0" xfId="3" applyFont="1"/>
    <xf numFmtId="44" fontId="51" fillId="0" borderId="0" xfId="0" applyNumberFormat="1" applyFont="1"/>
    <xf numFmtId="0" fontId="0" fillId="0" borderId="0" xfId="0" applyAlignment="1">
      <alignment horizontal="center"/>
    </xf>
    <xf numFmtId="17" fontId="10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168" fontId="22" fillId="0" borderId="0" xfId="0" applyNumberFormat="1" applyFont="1" applyAlignment="1">
      <alignment horizontal="left"/>
    </xf>
    <xf numFmtId="168" fontId="22" fillId="0" borderId="0" xfId="0" quotePrefix="1" applyNumberFormat="1" applyFont="1" applyAlignment="1">
      <alignment horizontal="left"/>
    </xf>
  </cellXfs>
  <cellStyles count="9">
    <cellStyle name="Comma" xfId="1" builtinId="3"/>
    <cellStyle name="Currency" xfId="3" builtinId="4"/>
    <cellStyle name="Currency 2" xfId="4" xr:uid="{DDDBF24A-24B0-4227-BEB4-454383FDF546}"/>
    <cellStyle name="Currency 3" xfId="6" xr:uid="{FB573A87-ABF6-42D3-AF6C-CC9237098E22}"/>
    <cellStyle name="Currency 4" xfId="8" xr:uid="{8A680E82-A22A-4306-9C2B-AD8FD6D42763}"/>
    <cellStyle name="Normal" xfId="0" builtinId="0"/>
    <cellStyle name="Normal 2" xfId="5" xr:uid="{20AA33E8-3997-4D80-B99F-58D01F9F8F82}"/>
    <cellStyle name="Normal 3" xfId="7" xr:uid="{4050DF00-ED68-4739-8EC4-6ABFD6677FAE}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microsoft.com/office/2017/10/relationships/person" Target="persons/person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wiwaterfowlassociation-my.sharepoint.com/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>
  <person displayName="Kelcy Boettcher" id="{1CCF73EB-A4DD-4237-B2F5-74D5FC2A99C6}" userId="38522dede8bb9505" providerId="Windows Live"/>
</personList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D10" dT="2025-12-30T20:58:18.73" personId="{1CCF73EB-A4DD-4237-B2F5-74D5FC2A99C6}" id="{49054055-6872-41C2-BC99-8DC84F9B4FCE}">
    <text>Given to him as cash by Ross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7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6.xml"/><Relationship Id="rId1" Type="http://schemas.openxmlformats.org/officeDocument/2006/relationships/vmlDrawing" Target="../drawings/vmlDrawing6.v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comments" Target="../comments7.xml"/><Relationship Id="rId1" Type="http://schemas.openxmlformats.org/officeDocument/2006/relationships/vmlDrawing" Target="../drawings/vmlDrawing7.v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8.xml"/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9.xml"/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137"/>
  <sheetViews>
    <sheetView tabSelected="1" zoomScale="71" zoomScaleNormal="115" workbookViewId="0">
      <selection activeCell="U69" sqref="U69"/>
    </sheetView>
  </sheetViews>
  <sheetFormatPr defaultColWidth="9.109375" defaultRowHeight="13.2"/>
  <cols>
    <col min="1" max="1" width="26.109375" customWidth="1"/>
    <col min="2" max="14" width="10.6640625" customWidth="1"/>
    <col min="15" max="15" width="4.33203125" customWidth="1"/>
    <col min="16" max="16" width="12.88671875" style="36" customWidth="1"/>
    <col min="17" max="17" width="14" customWidth="1"/>
  </cols>
  <sheetData>
    <row r="1" spans="1:17">
      <c r="A1" s="285" t="s">
        <v>20</v>
      </c>
      <c r="B1" s="285"/>
      <c r="C1" s="285"/>
      <c r="D1" s="285"/>
      <c r="E1" s="285"/>
      <c r="F1" s="285"/>
      <c r="G1" s="285"/>
      <c r="H1" s="285"/>
      <c r="I1" s="285"/>
      <c r="J1" s="285"/>
      <c r="K1" s="285"/>
      <c r="L1" s="285"/>
      <c r="M1" s="285"/>
      <c r="N1" s="285"/>
    </row>
    <row r="2" spans="1:17">
      <c r="A2" s="285" t="s">
        <v>64</v>
      </c>
      <c r="B2" s="285"/>
      <c r="C2" s="285"/>
      <c r="D2" s="285"/>
      <c r="E2" s="285"/>
      <c r="F2" s="285"/>
      <c r="G2" s="285"/>
      <c r="H2" s="285"/>
      <c r="I2" s="285"/>
      <c r="J2" s="285"/>
      <c r="K2" s="285"/>
      <c r="L2" s="285"/>
      <c r="M2" s="285"/>
      <c r="N2" s="285"/>
    </row>
    <row r="3" spans="1:17">
      <c r="A3" s="286" t="s">
        <v>314</v>
      </c>
      <c r="B3" s="286"/>
      <c r="C3" s="286"/>
      <c r="D3" s="286"/>
      <c r="E3" s="286"/>
      <c r="F3" s="286"/>
      <c r="G3" s="286"/>
      <c r="H3" s="286"/>
      <c r="I3" s="286"/>
      <c r="J3" s="286"/>
      <c r="K3" s="286"/>
      <c r="L3" s="286"/>
      <c r="M3" s="286"/>
      <c r="N3" s="286"/>
    </row>
    <row r="4" spans="1:17">
      <c r="B4" s="285"/>
      <c r="C4" s="285"/>
      <c r="D4" s="285"/>
      <c r="E4" s="285"/>
      <c r="F4" s="285"/>
      <c r="G4" s="285"/>
      <c r="H4" s="285"/>
      <c r="I4" s="285"/>
      <c r="J4" s="285"/>
    </row>
    <row r="5" spans="1:17" ht="13.8" thickBot="1">
      <c r="B5" s="4"/>
      <c r="P5" s="37"/>
    </row>
    <row r="6" spans="1:17" ht="14.4" thickTop="1">
      <c r="A6" s="252" t="s">
        <v>150</v>
      </c>
      <c r="B6" s="107"/>
      <c r="C6" s="108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9"/>
      <c r="P6" s="38" t="s">
        <v>153</v>
      </c>
    </row>
    <row r="7" spans="1:17">
      <c r="A7" s="39"/>
      <c r="B7" s="40" t="s">
        <v>51</v>
      </c>
      <c r="C7" s="22" t="s">
        <v>52</v>
      </c>
      <c r="D7" s="22" t="s">
        <v>53</v>
      </c>
      <c r="E7" s="22" t="s">
        <v>54</v>
      </c>
      <c r="F7" s="22" t="s">
        <v>55</v>
      </c>
      <c r="G7" s="22" t="s">
        <v>56</v>
      </c>
      <c r="H7" s="22" t="s">
        <v>57</v>
      </c>
      <c r="I7" s="22" t="s">
        <v>58</v>
      </c>
      <c r="J7" s="22" t="s">
        <v>59</v>
      </c>
      <c r="K7" s="22" t="s">
        <v>60</v>
      </c>
      <c r="L7" s="22" t="s">
        <v>61</v>
      </c>
      <c r="M7" s="22" t="s">
        <v>50</v>
      </c>
      <c r="N7" s="41" t="s">
        <v>62</v>
      </c>
      <c r="P7" s="33" t="s">
        <v>151</v>
      </c>
      <c r="Q7" s="22"/>
    </row>
    <row r="8" spans="1:17">
      <c r="A8" s="42" t="s">
        <v>65</v>
      </c>
      <c r="B8" s="43"/>
      <c r="N8" s="44"/>
      <c r="P8" s="45"/>
    </row>
    <row r="9" spans="1:17">
      <c r="A9" s="46" t="s">
        <v>66</v>
      </c>
      <c r="B9" s="47">
        <v>0</v>
      </c>
      <c r="C9" s="23">
        <v>3750</v>
      </c>
      <c r="D9" s="23">
        <v>0</v>
      </c>
      <c r="E9" s="23">
        <v>169750</v>
      </c>
      <c r="F9" s="23">
        <v>50000</v>
      </c>
      <c r="G9" s="23">
        <v>18750</v>
      </c>
      <c r="H9" s="23">
        <v>5000</v>
      </c>
      <c r="I9" s="23">
        <v>46250</v>
      </c>
      <c r="J9" s="23">
        <v>53750</v>
      </c>
      <c r="K9" s="23">
        <v>45250</v>
      </c>
      <c r="L9" s="23">
        <v>46250</v>
      </c>
      <c r="M9" s="23">
        <v>38750</v>
      </c>
      <c r="N9" s="48">
        <f>SUM(B9:M9)</f>
        <v>477500</v>
      </c>
      <c r="P9" s="112">
        <v>470178</v>
      </c>
    </row>
    <row r="10" spans="1:17">
      <c r="A10" s="46" t="s">
        <v>67</v>
      </c>
      <c r="B10" s="47">
        <v>0</v>
      </c>
      <c r="C10" s="35">
        <v>0</v>
      </c>
      <c r="D10" s="35">
        <v>0</v>
      </c>
      <c r="E10" s="35">
        <v>0</v>
      </c>
      <c r="F10" s="35">
        <v>0</v>
      </c>
      <c r="G10" s="35">
        <v>0</v>
      </c>
      <c r="H10" s="35">
        <v>750</v>
      </c>
      <c r="I10" s="35">
        <v>7400</v>
      </c>
      <c r="J10" s="35">
        <v>4300</v>
      </c>
      <c r="K10" s="35">
        <v>21000</v>
      </c>
      <c r="L10" s="35">
        <v>15000</v>
      </c>
      <c r="M10" s="35">
        <v>44100</v>
      </c>
      <c r="N10" s="48">
        <f t="shared" ref="N10:N18" si="0">SUM(B10:M10)</f>
        <v>92550</v>
      </c>
      <c r="P10" s="112">
        <v>154042</v>
      </c>
    </row>
    <row r="11" spans="1:17">
      <c r="A11" s="46" t="s">
        <v>68</v>
      </c>
      <c r="B11" s="97">
        <v>1200</v>
      </c>
      <c r="C11" s="98">
        <v>825</v>
      </c>
      <c r="D11" s="98">
        <v>1150</v>
      </c>
      <c r="E11" s="98">
        <v>700</v>
      </c>
      <c r="F11" s="98">
        <v>1425</v>
      </c>
      <c r="G11" s="98">
        <v>2000</v>
      </c>
      <c r="H11" s="98">
        <v>1750</v>
      </c>
      <c r="I11" s="98">
        <v>1750</v>
      </c>
      <c r="J11" s="98">
        <v>1625</v>
      </c>
      <c r="K11" s="98">
        <v>1100</v>
      </c>
      <c r="L11" s="106">
        <v>1200</v>
      </c>
      <c r="M11" s="98">
        <v>1200</v>
      </c>
      <c r="N11" s="48">
        <f>SUM(B11:M11)</f>
        <v>15925</v>
      </c>
      <c r="P11" s="112">
        <v>22830</v>
      </c>
    </row>
    <row r="12" spans="1:17">
      <c r="A12" s="46" t="s">
        <v>69</v>
      </c>
      <c r="B12" s="47">
        <v>0</v>
      </c>
      <c r="C12" s="35">
        <v>4000</v>
      </c>
      <c r="D12" s="35">
        <v>4000</v>
      </c>
      <c r="E12" s="35">
        <v>4000</v>
      </c>
      <c r="F12" s="35">
        <v>0</v>
      </c>
      <c r="G12" s="35">
        <v>0</v>
      </c>
      <c r="H12" s="35">
        <v>0</v>
      </c>
      <c r="I12" s="35">
        <v>0</v>
      </c>
      <c r="J12" s="35">
        <v>0</v>
      </c>
      <c r="K12" s="35">
        <v>0</v>
      </c>
      <c r="L12" s="35">
        <v>0</v>
      </c>
      <c r="M12" s="35">
        <v>0</v>
      </c>
      <c r="N12" s="48">
        <f>SUM(B12:M12)</f>
        <v>12000</v>
      </c>
      <c r="P12" s="112">
        <v>0</v>
      </c>
    </row>
    <row r="13" spans="1:17" s="4" customFormat="1">
      <c r="A13" s="46" t="s">
        <v>139</v>
      </c>
      <c r="B13" s="9">
        <v>0</v>
      </c>
      <c r="C13" s="31">
        <v>0</v>
      </c>
      <c r="D13" s="31">
        <v>22570</v>
      </c>
      <c r="E13" s="35">
        <v>0</v>
      </c>
      <c r="F13" s="35">
        <v>0</v>
      </c>
      <c r="G13" s="35">
        <v>21450</v>
      </c>
      <c r="H13" s="35">
        <v>0</v>
      </c>
      <c r="I13" s="35">
        <v>4000</v>
      </c>
      <c r="J13" s="35">
        <v>45450</v>
      </c>
      <c r="K13" s="35">
        <v>72000</v>
      </c>
      <c r="L13" s="35">
        <v>12000</v>
      </c>
      <c r="M13" s="31">
        <v>38450</v>
      </c>
      <c r="N13" s="10">
        <f>SUM(B13:M13)</f>
        <v>215920</v>
      </c>
      <c r="P13" s="112">
        <v>115457</v>
      </c>
    </row>
    <row r="14" spans="1:17" s="4" customFormat="1">
      <c r="A14" s="46" t="s">
        <v>138</v>
      </c>
      <c r="B14" s="9">
        <v>136355.62</v>
      </c>
      <c r="C14" s="31">
        <v>429078</v>
      </c>
      <c r="D14" s="31">
        <v>34950</v>
      </c>
      <c r="E14" s="35">
        <v>9950</v>
      </c>
      <c r="F14" s="35">
        <v>30950</v>
      </c>
      <c r="G14" s="35">
        <v>10450</v>
      </c>
      <c r="H14" s="35">
        <v>31450</v>
      </c>
      <c r="I14" s="35">
        <v>45250</v>
      </c>
      <c r="J14" s="35">
        <v>25377.38</v>
      </c>
      <c r="K14" s="35">
        <v>18750</v>
      </c>
      <c r="L14" s="35">
        <v>8750</v>
      </c>
      <c r="M14" s="31">
        <v>205750</v>
      </c>
      <c r="N14" s="10">
        <f>SUM(B14:M14)</f>
        <v>987061</v>
      </c>
      <c r="P14" s="112">
        <v>438826</v>
      </c>
    </row>
    <row r="15" spans="1:17" s="4" customFormat="1">
      <c r="A15" s="46" t="s">
        <v>140</v>
      </c>
      <c r="B15" s="9">
        <v>0</v>
      </c>
      <c r="C15" s="31">
        <v>20000</v>
      </c>
      <c r="D15" s="31">
        <v>0</v>
      </c>
      <c r="E15" s="35">
        <v>0</v>
      </c>
      <c r="F15" s="35">
        <v>0</v>
      </c>
      <c r="G15" s="35">
        <v>0</v>
      </c>
      <c r="H15" s="35">
        <v>0</v>
      </c>
      <c r="I15" s="35">
        <v>0</v>
      </c>
      <c r="J15" s="35">
        <v>0</v>
      </c>
      <c r="K15" s="35">
        <v>0</v>
      </c>
      <c r="L15" s="35">
        <v>0</v>
      </c>
      <c r="M15" s="31">
        <v>0</v>
      </c>
      <c r="N15" s="10">
        <f>SUM(B15:M15)</f>
        <v>20000</v>
      </c>
      <c r="P15" s="112">
        <v>1000</v>
      </c>
    </row>
    <row r="16" spans="1:17">
      <c r="A16" s="46" t="s">
        <v>137</v>
      </c>
      <c r="B16" s="111">
        <v>12833</v>
      </c>
      <c r="C16" s="106">
        <v>12833</v>
      </c>
      <c r="D16" s="106">
        <v>12833</v>
      </c>
      <c r="E16" s="106">
        <v>12833</v>
      </c>
      <c r="F16" s="106">
        <v>12833</v>
      </c>
      <c r="G16" s="106">
        <v>14333</v>
      </c>
      <c r="H16" s="106">
        <v>14333</v>
      </c>
      <c r="I16" s="106">
        <v>14333</v>
      </c>
      <c r="J16" s="106">
        <v>14333</v>
      </c>
      <c r="K16" s="106">
        <v>14333</v>
      </c>
      <c r="L16" s="106">
        <v>14333</v>
      </c>
      <c r="M16" s="35">
        <v>14333</v>
      </c>
      <c r="N16" s="48">
        <f t="shared" si="0"/>
        <v>164496</v>
      </c>
      <c r="P16" s="112">
        <v>163302</v>
      </c>
    </row>
    <row r="17" spans="1:16">
      <c r="A17" s="46" t="s">
        <v>130</v>
      </c>
      <c r="B17" s="97">
        <v>2000</v>
      </c>
      <c r="C17" s="98">
        <v>36000</v>
      </c>
      <c r="D17" s="98">
        <v>50675</v>
      </c>
      <c r="E17" s="98">
        <v>24000</v>
      </c>
      <c r="F17" s="98">
        <v>13500</v>
      </c>
      <c r="G17" s="98">
        <v>6500</v>
      </c>
      <c r="H17" s="98">
        <v>13000</v>
      </c>
      <c r="I17" s="98">
        <v>50820</v>
      </c>
      <c r="J17" s="98">
        <v>33000</v>
      </c>
      <c r="K17" s="98">
        <v>0</v>
      </c>
      <c r="L17" s="106">
        <v>0</v>
      </c>
      <c r="M17" s="35">
        <v>0</v>
      </c>
      <c r="N17" s="48">
        <f t="shared" si="0"/>
        <v>229495</v>
      </c>
      <c r="P17" s="112">
        <v>227160</v>
      </c>
    </row>
    <row r="18" spans="1:16">
      <c r="A18" s="49" t="s">
        <v>70</v>
      </c>
      <c r="B18" s="47">
        <v>1000</v>
      </c>
      <c r="C18" s="35">
        <v>1000</v>
      </c>
      <c r="D18" s="35">
        <v>1500</v>
      </c>
      <c r="E18" s="35">
        <v>1500</v>
      </c>
      <c r="F18" s="35">
        <v>1500</v>
      </c>
      <c r="G18" s="35">
        <v>1500</v>
      </c>
      <c r="H18" s="35">
        <v>1500</v>
      </c>
      <c r="I18" s="35">
        <v>1500</v>
      </c>
      <c r="J18" s="35">
        <v>1500</v>
      </c>
      <c r="K18" s="35">
        <v>1500</v>
      </c>
      <c r="L18" s="35">
        <v>2000</v>
      </c>
      <c r="M18" s="35">
        <v>4000</v>
      </c>
      <c r="N18" s="48">
        <f t="shared" si="0"/>
        <v>20000</v>
      </c>
      <c r="P18" s="112">
        <v>33883</v>
      </c>
    </row>
    <row r="19" spans="1:16">
      <c r="A19" s="49"/>
      <c r="B19" s="50"/>
      <c r="C19" s="99"/>
      <c r="D19" s="99"/>
      <c r="E19" s="99"/>
      <c r="F19" s="99"/>
      <c r="G19" s="99"/>
      <c r="H19" s="99"/>
      <c r="I19" s="99"/>
      <c r="J19" s="99"/>
      <c r="K19" s="99"/>
      <c r="L19" s="99"/>
      <c r="M19" s="99"/>
      <c r="N19" s="51"/>
      <c r="P19" s="112"/>
    </row>
    <row r="20" spans="1:16" s="4" customFormat="1">
      <c r="A20" s="52" t="s">
        <v>71</v>
      </c>
      <c r="B20" s="53">
        <f>SUM(B9:B19)</f>
        <v>153388.62</v>
      </c>
      <c r="C20" s="24">
        <f t="shared" ref="C20:M20" si="1">SUM(C9:C19)</f>
        <v>507486</v>
      </c>
      <c r="D20" s="24">
        <f t="shared" si="1"/>
        <v>127678</v>
      </c>
      <c r="E20" s="24">
        <f t="shared" si="1"/>
        <v>222733</v>
      </c>
      <c r="F20" s="24">
        <f t="shared" si="1"/>
        <v>110208</v>
      </c>
      <c r="G20" s="24">
        <f t="shared" si="1"/>
        <v>74983</v>
      </c>
      <c r="H20" s="24">
        <f t="shared" si="1"/>
        <v>67783</v>
      </c>
      <c r="I20" s="24">
        <f t="shared" si="1"/>
        <v>171303</v>
      </c>
      <c r="J20" s="24">
        <f t="shared" si="1"/>
        <v>179335.38</v>
      </c>
      <c r="K20" s="24">
        <f t="shared" si="1"/>
        <v>173933</v>
      </c>
      <c r="L20" s="24">
        <f t="shared" si="1"/>
        <v>99533</v>
      </c>
      <c r="M20" s="24">
        <f t="shared" si="1"/>
        <v>346583</v>
      </c>
      <c r="N20" s="54">
        <f>SUM(N9:N19)</f>
        <v>2234947</v>
      </c>
      <c r="P20" s="113">
        <v>1626678</v>
      </c>
    </row>
    <row r="21" spans="1:16">
      <c r="A21" s="55"/>
      <c r="B21" s="56"/>
      <c r="C21" s="100"/>
      <c r="D21" s="100"/>
      <c r="E21" s="100"/>
      <c r="F21" s="100"/>
      <c r="G21" s="100"/>
      <c r="H21" s="100"/>
      <c r="I21" s="100"/>
      <c r="J21" s="100"/>
      <c r="K21" s="100"/>
      <c r="L21" s="100"/>
      <c r="M21" s="100"/>
      <c r="N21" s="57"/>
      <c r="P21" s="114"/>
    </row>
    <row r="22" spans="1:16">
      <c r="A22" s="42" t="s">
        <v>72</v>
      </c>
      <c r="B22" s="58"/>
      <c r="C22" s="101"/>
      <c r="D22" s="101"/>
      <c r="E22" s="101"/>
      <c r="F22" s="101"/>
      <c r="G22" s="101"/>
      <c r="H22" s="101"/>
      <c r="I22" s="101"/>
      <c r="J22" s="101"/>
      <c r="K22" s="101"/>
      <c r="L22" s="101"/>
      <c r="M22" s="101"/>
      <c r="N22" s="59"/>
      <c r="P22" s="115"/>
    </row>
    <row r="23" spans="1:16">
      <c r="A23" s="46" t="s">
        <v>73</v>
      </c>
      <c r="B23" s="47">
        <v>0</v>
      </c>
      <c r="C23" s="35">
        <v>2250</v>
      </c>
      <c r="D23" s="35">
        <v>0</v>
      </c>
      <c r="E23" s="35">
        <v>101850</v>
      </c>
      <c r="F23" s="35">
        <v>30000</v>
      </c>
      <c r="G23" s="35">
        <v>11250</v>
      </c>
      <c r="H23" s="35">
        <v>3000</v>
      </c>
      <c r="I23" s="35">
        <v>27750</v>
      </c>
      <c r="J23" s="35">
        <v>32250</v>
      </c>
      <c r="K23" s="35">
        <v>27150</v>
      </c>
      <c r="L23" s="35">
        <v>27750</v>
      </c>
      <c r="M23" s="35">
        <v>23250</v>
      </c>
      <c r="N23" s="48">
        <f>SUM(B23:M23)</f>
        <v>286500</v>
      </c>
      <c r="P23" s="112">
        <v>266518</v>
      </c>
    </row>
    <row r="24" spans="1:16">
      <c r="A24" s="46" t="s">
        <v>74</v>
      </c>
      <c r="B24" s="47">
        <v>0</v>
      </c>
      <c r="C24" s="35">
        <v>0</v>
      </c>
      <c r="D24" s="35">
        <v>0</v>
      </c>
      <c r="E24" s="35">
        <v>0</v>
      </c>
      <c r="F24" s="35">
        <v>0</v>
      </c>
      <c r="G24" s="35">
        <v>0</v>
      </c>
      <c r="H24" s="35">
        <v>550</v>
      </c>
      <c r="I24" s="35">
        <v>5000</v>
      </c>
      <c r="J24" s="35">
        <v>2800</v>
      </c>
      <c r="K24" s="35">
        <v>14400</v>
      </c>
      <c r="L24" s="35">
        <v>9800</v>
      </c>
      <c r="M24" s="35">
        <v>25000</v>
      </c>
      <c r="N24" s="48">
        <f>SUM(B24:M24)</f>
        <v>57550</v>
      </c>
      <c r="P24" s="112">
        <v>84942</v>
      </c>
    </row>
    <row r="25" spans="1:16" s="4" customFormat="1">
      <c r="A25" s="46" t="s">
        <v>75</v>
      </c>
      <c r="B25" s="47">
        <v>0</v>
      </c>
      <c r="C25" s="35">
        <v>0</v>
      </c>
      <c r="D25" s="35">
        <v>0</v>
      </c>
      <c r="E25" s="35">
        <v>0</v>
      </c>
      <c r="F25" s="35">
        <v>0</v>
      </c>
      <c r="G25" s="35">
        <v>0</v>
      </c>
      <c r="H25" s="35">
        <v>0</v>
      </c>
      <c r="I25" s="35">
        <v>0</v>
      </c>
      <c r="J25" s="35">
        <v>0</v>
      </c>
      <c r="K25" s="35">
        <v>0</v>
      </c>
      <c r="L25" s="35">
        <v>0</v>
      </c>
      <c r="M25" s="35">
        <v>0</v>
      </c>
      <c r="N25" s="48">
        <f>SUM(B25:M25)</f>
        <v>0</v>
      </c>
      <c r="P25" s="112">
        <v>0</v>
      </c>
    </row>
    <row r="26" spans="1:16">
      <c r="A26" s="46"/>
      <c r="B26" s="50"/>
      <c r="C26" s="99"/>
      <c r="D26" s="99"/>
      <c r="E26" s="99"/>
      <c r="F26" s="99"/>
      <c r="G26" s="99"/>
      <c r="H26" s="99"/>
      <c r="I26" s="106"/>
      <c r="J26" s="106"/>
      <c r="K26" s="106"/>
      <c r="L26" s="106" t="s">
        <v>133</v>
      </c>
      <c r="M26" s="106"/>
      <c r="N26" s="51"/>
      <c r="P26" s="112"/>
    </row>
    <row r="27" spans="1:16">
      <c r="A27" s="39"/>
      <c r="B27" s="50"/>
      <c r="C27" s="99"/>
      <c r="D27" s="99"/>
      <c r="E27" s="99"/>
      <c r="F27" s="99"/>
      <c r="G27" s="99"/>
      <c r="H27" s="99"/>
      <c r="I27" s="99"/>
      <c r="J27" s="99"/>
      <c r="K27" s="99"/>
      <c r="L27" s="99"/>
      <c r="M27" s="99"/>
      <c r="N27" s="51"/>
      <c r="P27" s="112"/>
    </row>
    <row r="28" spans="1:16">
      <c r="A28" s="39"/>
      <c r="B28" s="50"/>
      <c r="C28" s="99"/>
      <c r="D28" s="99"/>
      <c r="E28" s="99"/>
      <c r="F28" s="99"/>
      <c r="G28" s="99"/>
      <c r="H28" s="99"/>
      <c r="I28" s="99"/>
      <c r="J28" s="99"/>
      <c r="K28" s="99"/>
      <c r="L28" s="99"/>
      <c r="M28" s="99"/>
      <c r="N28" s="60"/>
      <c r="P28" s="112"/>
    </row>
    <row r="29" spans="1:16">
      <c r="A29" s="61" t="s">
        <v>76</v>
      </c>
      <c r="B29" s="53">
        <f>SUM(B23:B28)</f>
        <v>0</v>
      </c>
      <c r="C29" s="24">
        <f t="shared" ref="C29:M29" si="2">SUM(C23:C28)</f>
        <v>2250</v>
      </c>
      <c r="D29" s="24">
        <f t="shared" si="2"/>
        <v>0</v>
      </c>
      <c r="E29" s="24">
        <f t="shared" si="2"/>
        <v>101850</v>
      </c>
      <c r="F29" s="24">
        <f t="shared" si="2"/>
        <v>30000</v>
      </c>
      <c r="G29" s="24">
        <f t="shared" si="2"/>
        <v>11250</v>
      </c>
      <c r="H29" s="24">
        <f t="shared" si="2"/>
        <v>3550</v>
      </c>
      <c r="I29" s="24">
        <f t="shared" si="2"/>
        <v>32750</v>
      </c>
      <c r="J29" s="24">
        <f>SUM(J23:J28)</f>
        <v>35050</v>
      </c>
      <c r="K29" s="24">
        <f t="shared" si="2"/>
        <v>41550</v>
      </c>
      <c r="L29" s="24">
        <f t="shared" si="2"/>
        <v>37550</v>
      </c>
      <c r="M29" s="24">
        <f t="shared" si="2"/>
        <v>48250</v>
      </c>
      <c r="N29" s="54">
        <f>SUM(N23:N28)</f>
        <v>344050</v>
      </c>
      <c r="P29" s="113">
        <v>351460</v>
      </c>
    </row>
    <row r="30" spans="1:16">
      <c r="A30" s="55"/>
      <c r="B30" s="62"/>
      <c r="C30" s="102"/>
      <c r="D30" s="102"/>
      <c r="E30" s="102"/>
      <c r="F30" s="102"/>
      <c r="G30" s="102"/>
      <c r="H30" s="102"/>
      <c r="I30" s="102"/>
      <c r="J30" s="102"/>
      <c r="K30" s="102"/>
      <c r="L30" s="102"/>
      <c r="M30" s="102"/>
      <c r="N30" s="63"/>
      <c r="P30" s="116"/>
    </row>
    <row r="31" spans="1:16" s="4" customFormat="1">
      <c r="A31" s="61" t="s">
        <v>77</v>
      </c>
      <c r="B31" s="53">
        <f>B20-B29</f>
        <v>153388.62</v>
      </c>
      <c r="C31" s="24">
        <f t="shared" ref="C31:M31" si="3">C20-C29</f>
        <v>505236</v>
      </c>
      <c r="D31" s="24">
        <f t="shared" si="3"/>
        <v>127678</v>
      </c>
      <c r="E31" s="24">
        <f t="shared" si="3"/>
        <v>120883</v>
      </c>
      <c r="F31" s="24">
        <f t="shared" si="3"/>
        <v>80208</v>
      </c>
      <c r="G31" s="24">
        <f t="shared" si="3"/>
        <v>63733</v>
      </c>
      <c r="H31" s="24">
        <f t="shared" si="3"/>
        <v>64233</v>
      </c>
      <c r="I31" s="24">
        <f t="shared" si="3"/>
        <v>138553</v>
      </c>
      <c r="J31" s="24">
        <f t="shared" si="3"/>
        <v>144285.38</v>
      </c>
      <c r="K31" s="24">
        <f t="shared" si="3"/>
        <v>132383</v>
      </c>
      <c r="L31" s="24">
        <f t="shared" si="3"/>
        <v>61983</v>
      </c>
      <c r="M31" s="24">
        <f t="shared" si="3"/>
        <v>298333</v>
      </c>
      <c r="N31" s="54">
        <f>N20-N29</f>
        <v>1890897</v>
      </c>
      <c r="P31" s="113">
        <f>P20-P29</f>
        <v>1275218</v>
      </c>
    </row>
    <row r="32" spans="1:16" s="4" customFormat="1">
      <c r="A32" s="46"/>
      <c r="B32" s="62"/>
      <c r="C32" s="102" t="s">
        <v>133</v>
      </c>
      <c r="D32" s="102"/>
      <c r="E32" s="102"/>
      <c r="F32" s="102"/>
      <c r="G32" s="102"/>
      <c r="H32" s="102"/>
      <c r="I32" s="102"/>
      <c r="J32" s="102"/>
      <c r="K32" s="102"/>
      <c r="L32" s="102"/>
      <c r="M32" s="102"/>
      <c r="N32" s="63"/>
      <c r="P32" s="116"/>
    </row>
    <row r="33" spans="1:16">
      <c r="A33" s="42" t="s">
        <v>78</v>
      </c>
      <c r="B33" s="58"/>
      <c r="C33" s="101"/>
      <c r="D33" s="101"/>
      <c r="E33" s="101"/>
      <c r="F33" s="101"/>
      <c r="G33" s="101"/>
      <c r="H33" s="101"/>
      <c r="I33" s="101"/>
      <c r="J33" s="101"/>
      <c r="K33" s="101"/>
      <c r="L33" s="101"/>
      <c r="M33" s="101"/>
      <c r="N33" s="59"/>
      <c r="P33" s="115"/>
    </row>
    <row r="34" spans="1:16" ht="14.4">
      <c r="A34" s="64" t="s">
        <v>79</v>
      </c>
      <c r="B34" s="50"/>
      <c r="C34" s="99"/>
      <c r="D34" s="99"/>
      <c r="E34" s="99"/>
      <c r="F34" s="99"/>
      <c r="G34" s="99"/>
      <c r="H34" s="99"/>
      <c r="I34" s="99"/>
      <c r="J34" s="99"/>
      <c r="K34" s="99"/>
      <c r="L34" s="99"/>
      <c r="M34" s="99"/>
      <c r="N34" s="51"/>
      <c r="P34" s="112"/>
    </row>
    <row r="35" spans="1:16">
      <c r="A35" s="136" t="s">
        <v>80</v>
      </c>
      <c r="B35" s="47">
        <v>5130</v>
      </c>
      <c r="C35" s="35">
        <v>5400</v>
      </c>
      <c r="D35" s="35">
        <v>5130</v>
      </c>
      <c r="E35" s="35">
        <v>4900</v>
      </c>
      <c r="F35" s="35">
        <v>4900</v>
      </c>
      <c r="G35" s="35">
        <v>4900</v>
      </c>
      <c r="H35" s="35">
        <v>4900</v>
      </c>
      <c r="I35" s="35">
        <v>4900</v>
      </c>
      <c r="J35" s="35">
        <v>4900</v>
      </c>
      <c r="K35" s="35">
        <v>4900</v>
      </c>
      <c r="L35" s="35">
        <v>4900</v>
      </c>
      <c r="M35" s="35">
        <v>4900</v>
      </c>
      <c r="N35" s="48">
        <f>SUM(B35:M35)</f>
        <v>59760</v>
      </c>
      <c r="P35" s="112">
        <v>61976</v>
      </c>
    </row>
    <row r="36" spans="1:16">
      <c r="A36" s="65" t="s">
        <v>81</v>
      </c>
      <c r="B36" s="47">
        <v>0</v>
      </c>
      <c r="C36" s="35">
        <v>0</v>
      </c>
      <c r="D36" s="35">
        <v>0</v>
      </c>
      <c r="E36" s="35">
        <v>0</v>
      </c>
      <c r="F36" s="35">
        <v>0</v>
      </c>
      <c r="G36" s="35">
        <v>0</v>
      </c>
      <c r="H36" s="35">
        <v>0</v>
      </c>
      <c r="I36" s="35">
        <v>0</v>
      </c>
      <c r="J36" s="35">
        <v>0</v>
      </c>
      <c r="K36" s="35">
        <v>0</v>
      </c>
      <c r="L36" s="35">
        <v>0</v>
      </c>
      <c r="M36" s="35">
        <v>0</v>
      </c>
      <c r="N36" s="48">
        <f t="shared" ref="N36:N44" si="4">SUM(B36:M36)</f>
        <v>0</v>
      </c>
      <c r="P36" s="112">
        <v>0</v>
      </c>
    </row>
    <row r="37" spans="1:16">
      <c r="A37" s="46" t="s">
        <v>82</v>
      </c>
      <c r="B37" s="97">
        <v>500</v>
      </c>
      <c r="C37" s="98">
        <v>500</v>
      </c>
      <c r="D37" s="98">
        <v>500</v>
      </c>
      <c r="E37" s="98">
        <v>500</v>
      </c>
      <c r="F37" s="98">
        <v>500</v>
      </c>
      <c r="G37" s="98">
        <v>500</v>
      </c>
      <c r="H37" s="98">
        <v>500</v>
      </c>
      <c r="I37" s="98">
        <v>500</v>
      </c>
      <c r="J37" s="98">
        <v>500</v>
      </c>
      <c r="K37" s="98">
        <v>500</v>
      </c>
      <c r="L37" s="106">
        <v>500</v>
      </c>
      <c r="M37" s="35">
        <v>500</v>
      </c>
      <c r="N37" s="48">
        <f t="shared" si="4"/>
        <v>6000</v>
      </c>
      <c r="P37" s="112">
        <v>3890</v>
      </c>
    </row>
    <row r="38" spans="1:16" s="4" customFormat="1">
      <c r="A38" s="46" t="s">
        <v>83</v>
      </c>
      <c r="B38" s="97">
        <v>250</v>
      </c>
      <c r="C38" s="98">
        <v>250</v>
      </c>
      <c r="D38" s="98">
        <v>250</v>
      </c>
      <c r="E38" s="98">
        <v>250</v>
      </c>
      <c r="F38" s="98">
        <v>250</v>
      </c>
      <c r="G38" s="98">
        <v>250</v>
      </c>
      <c r="H38" s="98">
        <v>250</v>
      </c>
      <c r="I38" s="98">
        <v>250</v>
      </c>
      <c r="J38" s="98">
        <v>250</v>
      </c>
      <c r="K38" s="98">
        <v>250</v>
      </c>
      <c r="L38" s="98">
        <v>250</v>
      </c>
      <c r="M38" s="98">
        <v>250</v>
      </c>
      <c r="N38" s="48">
        <f t="shared" si="4"/>
        <v>3000</v>
      </c>
      <c r="P38" s="112">
        <v>1970</v>
      </c>
    </row>
    <row r="39" spans="1:16">
      <c r="A39" s="49" t="s">
        <v>84</v>
      </c>
      <c r="B39" s="111">
        <v>800</v>
      </c>
      <c r="C39" s="98">
        <v>1200</v>
      </c>
      <c r="D39" s="98">
        <v>1200</v>
      </c>
      <c r="E39" s="98">
        <v>900</v>
      </c>
      <c r="F39" s="98">
        <v>500</v>
      </c>
      <c r="G39" s="98">
        <v>350</v>
      </c>
      <c r="H39" s="98">
        <v>900</v>
      </c>
      <c r="I39" s="98">
        <v>2500</v>
      </c>
      <c r="J39" s="98">
        <v>600</v>
      </c>
      <c r="K39" s="98">
        <v>750</v>
      </c>
      <c r="L39" s="106">
        <v>1000</v>
      </c>
      <c r="M39" s="35">
        <v>2000</v>
      </c>
      <c r="N39" s="48">
        <f t="shared" si="4"/>
        <v>12700</v>
      </c>
      <c r="P39" s="112">
        <v>17250</v>
      </c>
    </row>
    <row r="40" spans="1:16" s="4" customFormat="1">
      <c r="A40" s="66" t="s">
        <v>85</v>
      </c>
      <c r="B40" s="47">
        <v>25</v>
      </c>
      <c r="C40" s="35">
        <v>25</v>
      </c>
      <c r="D40" s="35">
        <v>100</v>
      </c>
      <c r="E40" s="35">
        <v>25</v>
      </c>
      <c r="F40" s="35">
        <v>25</v>
      </c>
      <c r="G40" s="35">
        <v>100</v>
      </c>
      <c r="H40" s="35">
        <v>25</v>
      </c>
      <c r="I40" s="35">
        <v>25</v>
      </c>
      <c r="J40" s="35">
        <v>100</v>
      </c>
      <c r="K40" s="35">
        <v>25</v>
      </c>
      <c r="L40" s="35">
        <v>25</v>
      </c>
      <c r="M40" s="35">
        <v>100</v>
      </c>
      <c r="N40" s="48">
        <f t="shared" si="4"/>
        <v>600</v>
      </c>
      <c r="P40" s="112">
        <v>437</v>
      </c>
    </row>
    <row r="41" spans="1:16" s="4" customFormat="1">
      <c r="A41" s="46" t="s">
        <v>86</v>
      </c>
      <c r="B41" s="47">
        <v>0</v>
      </c>
      <c r="C41" s="35">
        <v>0</v>
      </c>
      <c r="D41" s="35">
        <v>0</v>
      </c>
      <c r="E41" s="35">
        <v>0</v>
      </c>
      <c r="F41" s="35">
        <v>0</v>
      </c>
      <c r="G41" s="35">
        <v>0</v>
      </c>
      <c r="H41" s="35">
        <v>0</v>
      </c>
      <c r="I41" s="35">
        <v>0</v>
      </c>
      <c r="J41" s="35">
        <v>0</v>
      </c>
      <c r="K41" s="35">
        <v>0</v>
      </c>
      <c r="L41" s="35">
        <v>0</v>
      </c>
      <c r="M41" s="35">
        <v>0</v>
      </c>
      <c r="N41" s="48">
        <f t="shared" si="4"/>
        <v>0</v>
      </c>
      <c r="P41" s="112">
        <v>0</v>
      </c>
    </row>
    <row r="42" spans="1:16" s="4" customFormat="1">
      <c r="A42" s="46" t="s">
        <v>87</v>
      </c>
      <c r="B42" s="47">
        <v>0</v>
      </c>
      <c r="C42" s="35">
        <v>0</v>
      </c>
      <c r="D42" s="35">
        <v>0</v>
      </c>
      <c r="E42" s="35">
        <v>0</v>
      </c>
      <c r="F42" s="35">
        <v>0</v>
      </c>
      <c r="G42" s="35">
        <v>0</v>
      </c>
      <c r="H42" s="35">
        <v>0</v>
      </c>
      <c r="I42" s="35">
        <v>0</v>
      </c>
      <c r="J42" s="35">
        <v>0</v>
      </c>
      <c r="K42" s="35">
        <v>0</v>
      </c>
      <c r="L42" s="35">
        <v>0</v>
      </c>
      <c r="M42" s="35">
        <v>0</v>
      </c>
      <c r="N42" s="48">
        <f>SUM(B42:M42)</f>
        <v>0</v>
      </c>
      <c r="P42" s="112">
        <v>0</v>
      </c>
    </row>
    <row r="43" spans="1:16" s="4" customFormat="1">
      <c r="A43" s="46" t="s">
        <v>88</v>
      </c>
      <c r="B43" s="47">
        <v>0</v>
      </c>
      <c r="C43" s="35">
        <v>0</v>
      </c>
      <c r="D43" s="35">
        <v>0</v>
      </c>
      <c r="E43" s="35">
        <v>0</v>
      </c>
      <c r="F43" s="35">
        <v>0</v>
      </c>
      <c r="G43" s="35">
        <v>0</v>
      </c>
      <c r="H43" s="35">
        <v>0</v>
      </c>
      <c r="I43" s="35">
        <v>0</v>
      </c>
      <c r="J43" s="35">
        <v>0</v>
      </c>
      <c r="K43" s="35">
        <v>0</v>
      </c>
      <c r="L43" s="35">
        <v>0</v>
      </c>
      <c r="M43" s="35">
        <v>0</v>
      </c>
      <c r="N43" s="48">
        <f t="shared" si="4"/>
        <v>0</v>
      </c>
      <c r="P43" s="112">
        <v>0</v>
      </c>
    </row>
    <row r="44" spans="1:16" s="4" customFormat="1">
      <c r="A44" s="46" t="s">
        <v>89</v>
      </c>
      <c r="B44" s="47">
        <v>0</v>
      </c>
      <c r="C44" s="35">
        <v>0</v>
      </c>
      <c r="D44" s="35">
        <v>0</v>
      </c>
      <c r="E44" s="35">
        <v>0</v>
      </c>
      <c r="F44" s="35">
        <v>0</v>
      </c>
      <c r="G44" s="35">
        <v>0</v>
      </c>
      <c r="H44" s="35">
        <v>0</v>
      </c>
      <c r="I44" s="35">
        <v>0</v>
      </c>
      <c r="J44" s="35">
        <v>0</v>
      </c>
      <c r="K44" s="35">
        <v>0</v>
      </c>
      <c r="L44" s="35">
        <v>0</v>
      </c>
      <c r="M44" s="35">
        <v>0</v>
      </c>
      <c r="N44" s="48">
        <f t="shared" si="4"/>
        <v>0</v>
      </c>
      <c r="P44" s="112">
        <v>0</v>
      </c>
    </row>
    <row r="45" spans="1:16">
      <c r="A45" s="46" t="s">
        <v>90</v>
      </c>
      <c r="B45" s="47">
        <v>245</v>
      </c>
      <c r="C45" s="35">
        <v>100</v>
      </c>
      <c r="D45" s="35">
        <v>100</v>
      </c>
      <c r="E45" s="35">
        <v>245</v>
      </c>
      <c r="F45" s="35">
        <v>100</v>
      </c>
      <c r="G45" s="35">
        <v>100</v>
      </c>
      <c r="H45" s="35">
        <v>245</v>
      </c>
      <c r="I45" s="35">
        <v>100</v>
      </c>
      <c r="J45" s="35">
        <v>100</v>
      </c>
      <c r="K45" s="35">
        <v>245</v>
      </c>
      <c r="L45" s="35">
        <v>100</v>
      </c>
      <c r="M45" s="35">
        <v>100</v>
      </c>
      <c r="N45" s="48">
        <f>SUM(B45:M45)</f>
        <v>1780</v>
      </c>
      <c r="P45" s="112">
        <v>5280</v>
      </c>
    </row>
    <row r="46" spans="1:16" s="4" customFormat="1">
      <c r="A46" s="46" t="s">
        <v>70</v>
      </c>
      <c r="B46" s="67">
        <v>25</v>
      </c>
      <c r="C46" s="26">
        <v>25</v>
      </c>
      <c r="D46" s="26">
        <v>25</v>
      </c>
      <c r="E46" s="26">
        <v>25</v>
      </c>
      <c r="F46" s="26">
        <v>25</v>
      </c>
      <c r="G46" s="26">
        <v>25</v>
      </c>
      <c r="H46" s="26">
        <v>25</v>
      </c>
      <c r="I46" s="26">
        <v>25</v>
      </c>
      <c r="J46" s="26">
        <v>25</v>
      </c>
      <c r="K46" s="26">
        <v>25</v>
      </c>
      <c r="L46" s="26">
        <v>25</v>
      </c>
      <c r="M46" s="26">
        <v>25</v>
      </c>
      <c r="N46" s="68">
        <f>SUM(B46:M46)</f>
        <v>300</v>
      </c>
      <c r="P46" s="117">
        <v>480</v>
      </c>
    </row>
    <row r="47" spans="1:16" ht="14.4">
      <c r="A47" s="69" t="s">
        <v>91</v>
      </c>
      <c r="B47" s="53">
        <f>SUM(B35:B46)</f>
        <v>6975</v>
      </c>
      <c r="C47" s="24">
        <f t="shared" ref="C47:M47" si="5">SUM(C35:C46)</f>
        <v>7500</v>
      </c>
      <c r="D47" s="24">
        <f t="shared" si="5"/>
        <v>7305</v>
      </c>
      <c r="E47" s="24">
        <f t="shared" si="5"/>
        <v>6845</v>
      </c>
      <c r="F47" s="24">
        <f t="shared" si="5"/>
        <v>6300</v>
      </c>
      <c r="G47" s="24">
        <f t="shared" si="5"/>
        <v>6225</v>
      </c>
      <c r="H47" s="24">
        <f t="shared" si="5"/>
        <v>6845</v>
      </c>
      <c r="I47" s="24">
        <f t="shared" si="5"/>
        <v>8300</v>
      </c>
      <c r="J47" s="24">
        <f t="shared" si="5"/>
        <v>6475</v>
      </c>
      <c r="K47" s="24">
        <f t="shared" si="5"/>
        <v>6695</v>
      </c>
      <c r="L47" s="24">
        <f t="shared" si="5"/>
        <v>6800</v>
      </c>
      <c r="M47" s="24">
        <f t="shared" si="5"/>
        <v>7875</v>
      </c>
      <c r="N47" s="70">
        <f>SUM(N35:N46)</f>
        <v>84140</v>
      </c>
      <c r="P47" s="114">
        <f>SUM(P35:P46)</f>
        <v>91283</v>
      </c>
    </row>
    <row r="48" spans="1:16" ht="14.4">
      <c r="A48" s="69"/>
      <c r="B48" s="50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99"/>
      <c r="N48" s="71"/>
      <c r="P48" s="112"/>
    </row>
    <row r="49" spans="1:16" ht="14.4">
      <c r="A49" s="64" t="s">
        <v>119</v>
      </c>
      <c r="B49" s="50"/>
      <c r="C49" s="99"/>
      <c r="D49" s="99"/>
      <c r="E49" s="99"/>
      <c r="F49" s="99"/>
      <c r="G49" s="99"/>
      <c r="H49" s="99"/>
      <c r="I49" s="99"/>
      <c r="J49" s="99"/>
      <c r="K49" s="99"/>
      <c r="L49" s="99"/>
      <c r="M49" s="99"/>
      <c r="N49" s="51"/>
      <c r="P49" s="112"/>
    </row>
    <row r="50" spans="1:16" s="4" customFormat="1">
      <c r="A50" s="136" t="s">
        <v>80</v>
      </c>
      <c r="B50" s="47">
        <v>15670</v>
      </c>
      <c r="C50" s="35">
        <v>20170</v>
      </c>
      <c r="D50" s="35">
        <v>15670</v>
      </c>
      <c r="E50" s="35">
        <v>12260</v>
      </c>
      <c r="F50" s="35">
        <v>12260</v>
      </c>
      <c r="G50" s="35">
        <v>12260</v>
      </c>
      <c r="H50" s="35">
        <v>12260</v>
      </c>
      <c r="I50" s="35">
        <v>12260</v>
      </c>
      <c r="J50" s="35">
        <v>12260</v>
      </c>
      <c r="K50" s="35">
        <v>12260</v>
      </c>
      <c r="L50" s="35">
        <v>12260</v>
      </c>
      <c r="M50" s="35">
        <v>12260</v>
      </c>
      <c r="N50" s="48">
        <f t="shared" ref="N50:N58" si="6">SUM(B50:M50)</f>
        <v>161850</v>
      </c>
      <c r="P50" s="112">
        <v>117002</v>
      </c>
    </row>
    <row r="51" spans="1:16" s="4" customFormat="1">
      <c r="A51" s="46" t="s">
        <v>82</v>
      </c>
      <c r="B51" s="97">
        <v>1000</v>
      </c>
      <c r="C51" s="98">
        <v>1000</v>
      </c>
      <c r="D51" s="98">
        <v>1000</v>
      </c>
      <c r="E51" s="98">
        <v>1000</v>
      </c>
      <c r="F51" s="98">
        <v>1000</v>
      </c>
      <c r="G51" s="98">
        <v>1000</v>
      </c>
      <c r="H51" s="98">
        <v>1000</v>
      </c>
      <c r="I51" s="98">
        <v>1000</v>
      </c>
      <c r="J51" s="98">
        <v>1000</v>
      </c>
      <c r="K51" s="98">
        <v>1000</v>
      </c>
      <c r="L51" s="98">
        <v>1000</v>
      </c>
      <c r="M51" s="98">
        <v>1000</v>
      </c>
      <c r="N51" s="48">
        <f t="shared" si="6"/>
        <v>12000</v>
      </c>
      <c r="P51" s="112">
        <v>8195</v>
      </c>
    </row>
    <row r="52" spans="1:16" s="4" customFormat="1">
      <c r="A52" s="46" t="s">
        <v>70</v>
      </c>
      <c r="B52" s="97">
        <v>2000</v>
      </c>
      <c r="C52" s="98">
        <v>2000</v>
      </c>
      <c r="D52" s="98">
        <v>2000</v>
      </c>
      <c r="E52" s="98">
        <v>2500</v>
      </c>
      <c r="F52" s="98">
        <v>2756</v>
      </c>
      <c r="G52" s="98">
        <v>2000</v>
      </c>
      <c r="H52" s="98">
        <v>2000</v>
      </c>
      <c r="I52" s="98">
        <v>2000</v>
      </c>
      <c r="J52" s="98">
        <v>2000</v>
      </c>
      <c r="K52" s="98">
        <v>2000</v>
      </c>
      <c r="L52" s="98">
        <v>2000</v>
      </c>
      <c r="M52" s="98">
        <v>2000</v>
      </c>
      <c r="N52" s="48">
        <f t="shared" si="6"/>
        <v>25256</v>
      </c>
      <c r="P52" s="112">
        <v>22673</v>
      </c>
    </row>
    <row r="53" spans="1:16" s="4" customFormat="1">
      <c r="A53" s="46" t="s">
        <v>141</v>
      </c>
      <c r="B53" s="9">
        <v>7950</v>
      </c>
      <c r="C53" s="31">
        <v>9720</v>
      </c>
      <c r="D53" s="31">
        <v>16750</v>
      </c>
      <c r="E53" s="35">
        <v>10450</v>
      </c>
      <c r="F53" s="35">
        <v>11450</v>
      </c>
      <c r="G53" s="35">
        <v>11450</v>
      </c>
      <c r="H53" s="35">
        <v>20283</v>
      </c>
      <c r="I53" s="35">
        <v>40283</v>
      </c>
      <c r="J53" s="35">
        <v>87283</v>
      </c>
      <c r="K53" s="35">
        <v>14283</v>
      </c>
      <c r="L53" s="35">
        <v>14283</v>
      </c>
      <c r="M53" s="31">
        <v>14285</v>
      </c>
      <c r="N53" s="10">
        <f t="shared" si="6"/>
        <v>258470</v>
      </c>
      <c r="P53" s="112">
        <v>165324</v>
      </c>
    </row>
    <row r="54" spans="1:16" s="4" customFormat="1">
      <c r="A54" s="46" t="s">
        <v>142</v>
      </c>
      <c r="B54" s="9">
        <v>133338</v>
      </c>
      <c r="C54" s="31">
        <v>414216</v>
      </c>
      <c r="D54" s="31">
        <v>50763</v>
      </c>
      <c r="E54" s="35">
        <v>13763</v>
      </c>
      <c r="F54" s="35">
        <v>32763</v>
      </c>
      <c r="G54" s="35">
        <v>13513</v>
      </c>
      <c r="H54" s="35">
        <v>31513</v>
      </c>
      <c r="I54" s="35">
        <v>48513</v>
      </c>
      <c r="J54" s="35">
        <v>29588</v>
      </c>
      <c r="K54" s="35">
        <v>19088</v>
      </c>
      <c r="L54" s="35">
        <v>9838</v>
      </c>
      <c r="M54" s="31">
        <v>208338</v>
      </c>
      <c r="N54" s="10">
        <f>SUM(B54:M54)</f>
        <v>1005234</v>
      </c>
      <c r="P54" s="112">
        <v>463023</v>
      </c>
    </row>
    <row r="55" spans="1:16" s="4" customFormat="1">
      <c r="A55" s="46" t="s">
        <v>144</v>
      </c>
      <c r="B55" s="9">
        <v>0</v>
      </c>
      <c r="C55" s="31">
        <v>0</v>
      </c>
      <c r="D55" s="31">
        <v>0</v>
      </c>
      <c r="E55" s="35">
        <v>0</v>
      </c>
      <c r="F55" s="35">
        <v>0</v>
      </c>
      <c r="G55" s="35">
        <v>0</v>
      </c>
      <c r="H55" s="35">
        <v>0</v>
      </c>
      <c r="I55" s="35">
        <v>0</v>
      </c>
      <c r="J55" s="35">
        <v>0</v>
      </c>
      <c r="K55" s="35">
        <v>0</v>
      </c>
      <c r="L55" s="35">
        <v>0</v>
      </c>
      <c r="M55" s="31">
        <v>0</v>
      </c>
      <c r="N55" s="10">
        <f>SUM(B55:M55)</f>
        <v>0</v>
      </c>
      <c r="P55" s="112">
        <v>16217</v>
      </c>
    </row>
    <row r="56" spans="1:16" s="4" customFormat="1">
      <c r="A56" s="46" t="s">
        <v>143</v>
      </c>
      <c r="B56" s="111">
        <v>12833</v>
      </c>
      <c r="C56" s="106">
        <v>12833</v>
      </c>
      <c r="D56" s="106">
        <v>12833</v>
      </c>
      <c r="E56" s="106">
        <v>12833</v>
      </c>
      <c r="F56" s="106">
        <v>12833</v>
      </c>
      <c r="G56" s="106">
        <v>14333</v>
      </c>
      <c r="H56" s="106">
        <v>14333</v>
      </c>
      <c r="I56" s="106">
        <v>14333</v>
      </c>
      <c r="J56" s="106">
        <v>14333</v>
      </c>
      <c r="K56" s="106">
        <v>14333</v>
      </c>
      <c r="L56" s="106">
        <v>14333</v>
      </c>
      <c r="M56" s="35">
        <v>14333</v>
      </c>
      <c r="N56" s="48">
        <f t="shared" si="6"/>
        <v>164496</v>
      </c>
      <c r="P56" s="112">
        <v>153545</v>
      </c>
    </row>
    <row r="57" spans="1:16" s="4" customFormat="1">
      <c r="A57" s="46" t="s">
        <v>129</v>
      </c>
      <c r="B57" s="97">
        <v>2400</v>
      </c>
      <c r="C57" s="98">
        <v>9700</v>
      </c>
      <c r="D57" s="98">
        <v>6200</v>
      </c>
      <c r="E57" s="98">
        <v>5800</v>
      </c>
      <c r="F57" s="98">
        <v>5300</v>
      </c>
      <c r="G57" s="98">
        <v>20100</v>
      </c>
      <c r="H57" s="98">
        <v>13200</v>
      </c>
      <c r="I57" s="98">
        <v>51100</v>
      </c>
      <c r="J57" s="98">
        <v>9500</v>
      </c>
      <c r="K57" s="98">
        <v>200</v>
      </c>
      <c r="L57" s="106">
        <v>200</v>
      </c>
      <c r="M57" s="35">
        <v>200</v>
      </c>
      <c r="N57" s="48">
        <f t="shared" si="6"/>
        <v>123900</v>
      </c>
      <c r="P57" s="112">
        <v>150210</v>
      </c>
    </row>
    <row r="58" spans="1:16" s="4" customFormat="1">
      <c r="A58" s="46" t="s">
        <v>117</v>
      </c>
      <c r="B58" s="135">
        <v>3000</v>
      </c>
      <c r="C58" s="110">
        <v>2200</v>
      </c>
      <c r="D58" s="110">
        <v>2200</v>
      </c>
      <c r="E58" s="110">
        <v>3000</v>
      </c>
      <c r="F58" s="110">
        <v>2000</v>
      </c>
      <c r="G58" s="110">
        <v>1000</v>
      </c>
      <c r="H58" s="110">
        <v>2000</v>
      </c>
      <c r="I58" s="110">
        <v>2000</v>
      </c>
      <c r="J58" s="110">
        <v>2000</v>
      </c>
      <c r="K58" s="110">
        <v>7500</v>
      </c>
      <c r="L58" s="110">
        <v>4500</v>
      </c>
      <c r="M58" s="110">
        <v>2000</v>
      </c>
      <c r="N58" s="68">
        <f t="shared" si="6"/>
        <v>33400</v>
      </c>
      <c r="P58" s="117">
        <v>23983</v>
      </c>
    </row>
    <row r="59" spans="1:16" s="4" customFormat="1" ht="14.4">
      <c r="A59" s="72" t="s">
        <v>62</v>
      </c>
      <c r="B59" s="53">
        <f>SUM(B50:B58)</f>
        <v>178191</v>
      </c>
      <c r="C59" s="24">
        <f t="shared" ref="C59:M59" si="7">SUM(C50:C58)</f>
        <v>471839</v>
      </c>
      <c r="D59" s="24">
        <f t="shared" si="7"/>
        <v>107416</v>
      </c>
      <c r="E59" s="24">
        <f t="shared" si="7"/>
        <v>61606</v>
      </c>
      <c r="F59" s="24">
        <f t="shared" si="7"/>
        <v>80362</v>
      </c>
      <c r="G59" s="24">
        <f t="shared" si="7"/>
        <v>75656</v>
      </c>
      <c r="H59" s="24">
        <f t="shared" si="7"/>
        <v>96589</v>
      </c>
      <c r="I59" s="24">
        <f t="shared" si="7"/>
        <v>171489</v>
      </c>
      <c r="J59" s="24">
        <f t="shared" si="7"/>
        <v>157964</v>
      </c>
      <c r="K59" s="24">
        <f t="shared" si="7"/>
        <v>70664</v>
      </c>
      <c r="L59" s="24">
        <f t="shared" si="7"/>
        <v>58414</v>
      </c>
      <c r="M59" s="24">
        <f t="shared" si="7"/>
        <v>254416</v>
      </c>
      <c r="N59" s="70">
        <f>SUM(N50:N58)</f>
        <v>1784606</v>
      </c>
      <c r="P59" s="114">
        <f>SUM(P50:P58)</f>
        <v>1120172</v>
      </c>
    </row>
    <row r="60" spans="1:16" s="4" customFormat="1">
      <c r="A60" s="46"/>
      <c r="B60" s="47"/>
      <c r="C60" s="35"/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71"/>
      <c r="P60" s="112"/>
    </row>
    <row r="61" spans="1:16" s="4" customFormat="1" ht="14.4">
      <c r="A61" s="73" t="s">
        <v>92</v>
      </c>
      <c r="B61" s="47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48"/>
      <c r="P61" s="112"/>
    </row>
    <row r="62" spans="1:16" s="4" customFormat="1">
      <c r="A62" s="136" t="s">
        <v>80</v>
      </c>
      <c r="B62" s="47">
        <v>1200</v>
      </c>
      <c r="C62" s="35">
        <v>1200</v>
      </c>
      <c r="D62" s="35">
        <v>1200</v>
      </c>
      <c r="E62" s="35">
        <v>1200</v>
      </c>
      <c r="F62" s="35">
        <v>1200</v>
      </c>
      <c r="G62" s="35">
        <v>1200</v>
      </c>
      <c r="H62" s="35">
        <v>1200</v>
      </c>
      <c r="I62" s="35">
        <v>1200</v>
      </c>
      <c r="J62" s="35">
        <v>1200</v>
      </c>
      <c r="K62" s="35">
        <v>1200</v>
      </c>
      <c r="L62" s="35">
        <v>1200</v>
      </c>
      <c r="M62" s="35">
        <v>1200</v>
      </c>
      <c r="N62" s="48">
        <f>SUM(B62:M62)</f>
        <v>14400</v>
      </c>
      <c r="P62" s="112">
        <v>21325</v>
      </c>
    </row>
    <row r="63" spans="1:16" s="4" customFormat="1">
      <c r="A63" s="46" t="s">
        <v>81</v>
      </c>
      <c r="B63" s="47">
        <v>0</v>
      </c>
      <c r="C63" s="35">
        <v>0</v>
      </c>
      <c r="D63" s="35">
        <v>0</v>
      </c>
      <c r="E63" s="35">
        <v>0</v>
      </c>
      <c r="F63" s="35">
        <v>0</v>
      </c>
      <c r="G63" s="35">
        <v>0</v>
      </c>
      <c r="H63" s="35">
        <v>0</v>
      </c>
      <c r="I63" s="35">
        <v>0</v>
      </c>
      <c r="J63" s="35">
        <v>0</v>
      </c>
      <c r="K63" s="35">
        <v>0</v>
      </c>
      <c r="L63" s="35">
        <v>0</v>
      </c>
      <c r="M63" s="35">
        <v>0</v>
      </c>
      <c r="N63" s="48">
        <f t="shared" ref="N63:N71" si="8">SUM(B63:M63)</f>
        <v>0</v>
      </c>
      <c r="P63" s="112">
        <v>0</v>
      </c>
    </row>
    <row r="64" spans="1:16" s="4" customFormat="1">
      <c r="A64" s="46" t="s">
        <v>82</v>
      </c>
      <c r="B64" s="47">
        <v>0</v>
      </c>
      <c r="C64" s="35">
        <v>0</v>
      </c>
      <c r="D64" s="35">
        <v>0</v>
      </c>
      <c r="E64" s="35">
        <v>0</v>
      </c>
      <c r="F64" s="35">
        <v>0</v>
      </c>
      <c r="G64" s="35">
        <v>0</v>
      </c>
      <c r="H64" s="35">
        <v>0</v>
      </c>
      <c r="I64" s="35">
        <v>0</v>
      </c>
      <c r="J64" s="35">
        <v>0</v>
      </c>
      <c r="K64" s="35">
        <v>0</v>
      </c>
      <c r="L64" s="35">
        <v>0</v>
      </c>
      <c r="M64" s="35">
        <v>0</v>
      </c>
      <c r="N64" s="48">
        <f>SUM(B64:M64)</f>
        <v>0</v>
      </c>
      <c r="P64" s="112">
        <v>0</v>
      </c>
    </row>
    <row r="65" spans="1:16" s="4" customFormat="1">
      <c r="A65" s="46" t="s">
        <v>83</v>
      </c>
      <c r="B65" s="47">
        <v>0</v>
      </c>
      <c r="C65" s="35">
        <v>0</v>
      </c>
      <c r="D65" s="35">
        <v>0</v>
      </c>
      <c r="E65" s="35">
        <v>0</v>
      </c>
      <c r="F65" s="35">
        <v>0</v>
      </c>
      <c r="G65" s="35">
        <v>0</v>
      </c>
      <c r="H65" s="35">
        <v>0</v>
      </c>
      <c r="I65" s="35">
        <v>0</v>
      </c>
      <c r="J65" s="35">
        <v>0</v>
      </c>
      <c r="K65" s="35">
        <v>0</v>
      </c>
      <c r="L65" s="35">
        <v>0</v>
      </c>
      <c r="M65" s="35">
        <v>0</v>
      </c>
      <c r="N65" s="48">
        <f>SUM(B65:M65)</f>
        <v>0</v>
      </c>
      <c r="P65" s="112">
        <v>0</v>
      </c>
    </row>
    <row r="66" spans="1:16" s="4" customFormat="1">
      <c r="A66" s="46" t="s">
        <v>90</v>
      </c>
      <c r="B66" s="97">
        <v>18</v>
      </c>
      <c r="C66" s="98">
        <v>0</v>
      </c>
      <c r="D66" s="98">
        <v>0</v>
      </c>
      <c r="E66" s="98">
        <v>18</v>
      </c>
      <c r="F66" s="98">
        <v>0</v>
      </c>
      <c r="G66" s="98">
        <v>0</v>
      </c>
      <c r="H66" s="98">
        <v>18</v>
      </c>
      <c r="I66" s="98">
        <v>0</v>
      </c>
      <c r="J66" s="98">
        <v>0</v>
      </c>
      <c r="K66" s="98">
        <v>18</v>
      </c>
      <c r="L66" s="106">
        <v>0</v>
      </c>
      <c r="M66" s="35">
        <v>0</v>
      </c>
      <c r="N66" s="48">
        <f t="shared" si="8"/>
        <v>72</v>
      </c>
      <c r="P66" s="112">
        <v>71</v>
      </c>
    </row>
    <row r="67" spans="1:16" s="4" customFormat="1">
      <c r="A67" s="46" t="s">
        <v>93</v>
      </c>
      <c r="B67" s="47">
        <v>600</v>
      </c>
      <c r="C67" s="35">
        <v>600</v>
      </c>
      <c r="D67" s="35">
        <v>600</v>
      </c>
      <c r="E67" s="35">
        <v>600</v>
      </c>
      <c r="F67" s="35">
        <v>600</v>
      </c>
      <c r="G67" s="35">
        <v>600</v>
      </c>
      <c r="H67" s="35">
        <v>600</v>
      </c>
      <c r="I67" s="35">
        <v>600</v>
      </c>
      <c r="J67" s="35">
        <v>600</v>
      </c>
      <c r="K67" s="35">
        <v>600</v>
      </c>
      <c r="L67" s="35">
        <v>600</v>
      </c>
      <c r="M67" s="35">
        <v>600</v>
      </c>
      <c r="N67" s="48">
        <f t="shared" si="8"/>
        <v>7200</v>
      </c>
      <c r="P67" s="112">
        <v>7080</v>
      </c>
    </row>
    <row r="68" spans="1:16" s="4" customFormat="1">
      <c r="A68" s="46" t="s">
        <v>94</v>
      </c>
      <c r="B68" s="97">
        <v>0</v>
      </c>
      <c r="C68" s="98">
        <v>0</v>
      </c>
      <c r="D68" s="98">
        <v>0</v>
      </c>
      <c r="E68" s="98">
        <v>0</v>
      </c>
      <c r="F68" s="98">
        <v>0</v>
      </c>
      <c r="G68" s="98">
        <v>0</v>
      </c>
      <c r="H68" s="98">
        <v>0</v>
      </c>
      <c r="I68" s="98">
        <v>0</v>
      </c>
      <c r="J68" s="98">
        <v>0</v>
      </c>
      <c r="K68" s="98">
        <v>0</v>
      </c>
      <c r="L68" s="106">
        <v>0</v>
      </c>
      <c r="M68" s="35">
        <v>0</v>
      </c>
      <c r="N68" s="48">
        <f t="shared" si="8"/>
        <v>0</v>
      </c>
      <c r="P68" s="112">
        <v>56</v>
      </c>
    </row>
    <row r="69" spans="1:16" s="4" customFormat="1">
      <c r="A69" s="46" t="s">
        <v>95</v>
      </c>
      <c r="B69" s="47">
        <v>0</v>
      </c>
      <c r="C69" s="35">
        <v>0</v>
      </c>
      <c r="D69" s="35">
        <v>2730</v>
      </c>
      <c r="E69" s="35">
        <v>2930</v>
      </c>
      <c r="F69" s="35">
        <v>0</v>
      </c>
      <c r="G69" s="35">
        <v>0</v>
      </c>
      <c r="H69" s="35">
        <v>0</v>
      </c>
      <c r="I69" s="35">
        <v>0</v>
      </c>
      <c r="J69" s="35">
        <v>0</v>
      </c>
      <c r="K69" s="35">
        <v>2700</v>
      </c>
      <c r="L69" s="35">
        <v>0</v>
      </c>
      <c r="M69" s="35">
        <v>0</v>
      </c>
      <c r="N69" s="48">
        <f t="shared" si="8"/>
        <v>8360</v>
      </c>
      <c r="P69" s="112">
        <v>7875</v>
      </c>
    </row>
    <row r="70" spans="1:16" s="4" customFormat="1">
      <c r="A70" s="46" t="s">
        <v>96</v>
      </c>
      <c r="B70" s="47">
        <v>20</v>
      </c>
      <c r="C70" s="35">
        <v>20</v>
      </c>
      <c r="D70" s="35">
        <v>20</v>
      </c>
      <c r="E70" s="35">
        <v>20</v>
      </c>
      <c r="F70" s="35">
        <v>20</v>
      </c>
      <c r="G70" s="35">
        <v>20</v>
      </c>
      <c r="H70" s="35">
        <v>20</v>
      </c>
      <c r="I70" s="35">
        <v>20</v>
      </c>
      <c r="J70" s="35">
        <v>20</v>
      </c>
      <c r="K70" s="35">
        <v>20</v>
      </c>
      <c r="L70" s="35">
        <v>20</v>
      </c>
      <c r="M70" s="35">
        <v>20</v>
      </c>
      <c r="N70" s="48">
        <f t="shared" si="8"/>
        <v>240</v>
      </c>
      <c r="P70" s="112">
        <v>84</v>
      </c>
    </row>
    <row r="71" spans="1:16" s="4" customFormat="1">
      <c r="A71" s="46" t="s">
        <v>70</v>
      </c>
      <c r="B71" s="67">
        <v>-775</v>
      </c>
      <c r="C71" s="26">
        <v>-775</v>
      </c>
      <c r="D71" s="26">
        <v>-775</v>
      </c>
      <c r="E71" s="26">
        <v>-775</v>
      </c>
      <c r="F71" s="26">
        <v>-775</v>
      </c>
      <c r="G71" s="26">
        <v>-775</v>
      </c>
      <c r="H71" s="26">
        <v>-775</v>
      </c>
      <c r="I71" s="26">
        <v>-775</v>
      </c>
      <c r="J71" s="26">
        <v>-775</v>
      </c>
      <c r="K71" s="26">
        <v>-775</v>
      </c>
      <c r="L71" s="26">
        <v>-775</v>
      </c>
      <c r="M71" s="26">
        <v>-775</v>
      </c>
      <c r="N71" s="68">
        <f t="shared" si="8"/>
        <v>-9300</v>
      </c>
      <c r="P71" s="117">
        <v>-21343</v>
      </c>
    </row>
    <row r="72" spans="1:16" s="4" customFormat="1" ht="14.4">
      <c r="A72" s="74" t="s">
        <v>62</v>
      </c>
      <c r="B72" s="75">
        <f>SUM(B62:B71)</f>
        <v>1063</v>
      </c>
      <c r="C72" s="27">
        <f t="shared" ref="C72:M72" si="9">SUM(C62:C71)</f>
        <v>1045</v>
      </c>
      <c r="D72" s="27">
        <f t="shared" si="9"/>
        <v>3775</v>
      </c>
      <c r="E72" s="27">
        <f t="shared" si="9"/>
        <v>3993</v>
      </c>
      <c r="F72" s="27">
        <f t="shared" si="9"/>
        <v>1045</v>
      </c>
      <c r="G72" s="27">
        <f t="shared" si="9"/>
        <v>1045</v>
      </c>
      <c r="H72" s="27">
        <f t="shared" si="9"/>
        <v>1063</v>
      </c>
      <c r="I72" s="27">
        <f t="shared" si="9"/>
        <v>1045</v>
      </c>
      <c r="J72" s="27">
        <f t="shared" si="9"/>
        <v>1045</v>
      </c>
      <c r="K72" s="27">
        <f t="shared" si="9"/>
        <v>3763</v>
      </c>
      <c r="L72" s="27">
        <f t="shared" si="9"/>
        <v>1045</v>
      </c>
      <c r="M72" s="27">
        <f t="shared" si="9"/>
        <v>1045</v>
      </c>
      <c r="N72" s="134">
        <f>SUM(N62:N71)</f>
        <v>20972</v>
      </c>
      <c r="P72" s="112">
        <v>15148</v>
      </c>
    </row>
    <row r="73" spans="1:16" s="4" customFormat="1">
      <c r="A73" s="66"/>
      <c r="B73" s="47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71"/>
      <c r="P73" s="112"/>
    </row>
    <row r="74" spans="1:16" s="4" customFormat="1">
      <c r="A74" s="76" t="s">
        <v>97</v>
      </c>
      <c r="B74" s="77">
        <f t="shared" ref="B74:M74" si="10">B72+B59+B47</f>
        <v>186229</v>
      </c>
      <c r="C74" s="28">
        <f t="shared" si="10"/>
        <v>480384</v>
      </c>
      <c r="D74" s="28">
        <f t="shared" si="10"/>
        <v>118496</v>
      </c>
      <c r="E74" s="28">
        <f t="shared" si="10"/>
        <v>72444</v>
      </c>
      <c r="F74" s="28">
        <f t="shared" si="10"/>
        <v>87707</v>
      </c>
      <c r="G74" s="28">
        <f t="shared" si="10"/>
        <v>82926</v>
      </c>
      <c r="H74" s="28">
        <f t="shared" si="10"/>
        <v>104497</v>
      </c>
      <c r="I74" s="28">
        <f t="shared" si="10"/>
        <v>180834</v>
      </c>
      <c r="J74" s="28">
        <f t="shared" si="10"/>
        <v>165484</v>
      </c>
      <c r="K74" s="28">
        <f t="shared" si="10"/>
        <v>81122</v>
      </c>
      <c r="L74" s="28">
        <f t="shared" si="10"/>
        <v>66259</v>
      </c>
      <c r="M74" s="28">
        <f t="shared" si="10"/>
        <v>263336</v>
      </c>
      <c r="N74" s="70">
        <f>SUM(B74:M74)</f>
        <v>1889718</v>
      </c>
      <c r="P74" s="114">
        <f>P72+P59+P47</f>
        <v>1226603</v>
      </c>
    </row>
    <row r="75" spans="1:16" s="4" customFormat="1">
      <c r="A75" s="66"/>
      <c r="B75" s="62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63"/>
      <c r="P75" s="116"/>
    </row>
    <row r="76" spans="1:16" s="4" customFormat="1">
      <c r="A76" s="66"/>
      <c r="B76" s="78"/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79"/>
      <c r="P76" s="115"/>
    </row>
    <row r="77" spans="1:16" s="4" customFormat="1" ht="13.8" thickBot="1">
      <c r="A77" s="80" t="s">
        <v>98</v>
      </c>
      <c r="B77" s="81">
        <f t="shared" ref="B77:N77" si="11">B31-B74</f>
        <v>-32840.380000000005</v>
      </c>
      <c r="C77" s="30">
        <f t="shared" si="11"/>
        <v>24852</v>
      </c>
      <c r="D77" s="30">
        <f t="shared" si="11"/>
        <v>9182</v>
      </c>
      <c r="E77" s="30">
        <f t="shared" si="11"/>
        <v>48439</v>
      </c>
      <c r="F77" s="30">
        <f t="shared" si="11"/>
        <v>-7499</v>
      </c>
      <c r="G77" s="30">
        <f t="shared" si="11"/>
        <v>-19193</v>
      </c>
      <c r="H77" s="30">
        <f t="shared" si="11"/>
        <v>-40264</v>
      </c>
      <c r="I77" s="30">
        <f t="shared" si="11"/>
        <v>-42281</v>
      </c>
      <c r="J77" s="30">
        <f t="shared" si="11"/>
        <v>-21198.619999999995</v>
      </c>
      <c r="K77" s="30">
        <f t="shared" si="11"/>
        <v>51261</v>
      </c>
      <c r="L77" s="30">
        <f t="shared" si="11"/>
        <v>-4276</v>
      </c>
      <c r="M77" s="30">
        <f t="shared" si="11"/>
        <v>34997</v>
      </c>
      <c r="N77" s="82">
        <f t="shared" si="11"/>
        <v>1179</v>
      </c>
      <c r="P77" s="118">
        <v>49003</v>
      </c>
    </row>
    <row r="78" spans="1:16" ht="13.8" thickTop="1"/>
    <row r="82" spans="16:16">
      <c r="P82" s="83"/>
    </row>
    <row r="86" spans="16:16">
      <c r="P86" s="83"/>
    </row>
    <row r="91" spans="16:16">
      <c r="P91" s="83"/>
    </row>
    <row r="97" spans="16:16">
      <c r="P97" s="83"/>
    </row>
    <row r="98" spans="16:16">
      <c r="P98" s="83"/>
    </row>
    <row r="104" spans="16:16">
      <c r="P104" s="83"/>
    </row>
    <row r="106" spans="16:16">
      <c r="P106" s="83"/>
    </row>
    <row r="107" spans="16:16">
      <c r="P107" s="83"/>
    </row>
    <row r="108" spans="16:16">
      <c r="P108" s="83"/>
    </row>
    <row r="109" spans="16:16">
      <c r="P109" s="83"/>
    </row>
    <row r="110" spans="16:16">
      <c r="P110" s="83"/>
    </row>
    <row r="112" spans="16:16">
      <c r="P112" s="83"/>
    </row>
    <row r="116" spans="16:16">
      <c r="P116" s="83"/>
    </row>
    <row r="117" spans="16:16">
      <c r="P117" s="83"/>
    </row>
    <row r="118" spans="16:16">
      <c r="P118" s="83"/>
    </row>
    <row r="119" spans="16:16">
      <c r="P119" s="83"/>
    </row>
    <row r="120" spans="16:16">
      <c r="P120" s="83"/>
    </row>
    <row r="121" spans="16:16">
      <c r="P121" s="83"/>
    </row>
    <row r="122" spans="16:16">
      <c r="P122" s="83"/>
    </row>
    <row r="123" spans="16:16">
      <c r="P123" s="83"/>
    </row>
    <row r="124" spans="16:16">
      <c r="P124" s="83"/>
    </row>
    <row r="125" spans="16:16">
      <c r="P125" s="83"/>
    </row>
    <row r="126" spans="16:16">
      <c r="P126" s="83"/>
    </row>
    <row r="127" spans="16:16">
      <c r="P127" s="83"/>
    </row>
    <row r="128" spans="16:16">
      <c r="P128" s="83"/>
    </row>
    <row r="129" spans="16:16">
      <c r="P129" s="83"/>
    </row>
    <row r="130" spans="16:16">
      <c r="P130" s="83"/>
    </row>
    <row r="131" spans="16:16">
      <c r="P131" s="83"/>
    </row>
    <row r="132" spans="16:16">
      <c r="P132" s="83"/>
    </row>
    <row r="133" spans="16:16">
      <c r="P133" s="83"/>
    </row>
    <row r="134" spans="16:16">
      <c r="P134" s="83"/>
    </row>
    <row r="135" spans="16:16">
      <c r="P135" s="83"/>
    </row>
    <row r="136" spans="16:16">
      <c r="P136" s="83"/>
    </row>
    <row r="137" spans="16:16">
      <c r="P137" s="83"/>
    </row>
  </sheetData>
  <mergeCells count="4">
    <mergeCell ref="A1:N1"/>
    <mergeCell ref="A2:N2"/>
    <mergeCell ref="A3:N3"/>
    <mergeCell ref="B4:J4"/>
  </mergeCells>
  <pageMargins left="0.7" right="0.7" top="0.33" bottom="0.53" header="0.33" footer="0.51180555555555596"/>
  <pageSetup scale="56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12"/>
    <pageSetUpPr fitToPage="1"/>
  </sheetPr>
  <dimension ref="E1:V54"/>
  <sheetViews>
    <sheetView topLeftCell="E4" zoomScale="88" zoomScaleNormal="85" workbookViewId="0">
      <pane xSplit="5" ySplit="6" topLeftCell="N10" activePane="bottomRight" state="frozen"/>
      <selection activeCell="B33" sqref="B14:F33"/>
      <selection pane="topRight" activeCell="B33" sqref="B14:F33"/>
      <selection pane="bottomLeft" activeCell="B33" sqref="B14:F33"/>
      <selection pane="bottomRight" activeCell="W48" sqref="W48"/>
    </sheetView>
  </sheetViews>
  <sheetFormatPr defaultColWidth="9.109375" defaultRowHeight="13.2"/>
  <cols>
    <col min="1" max="4" width="0" hidden="1" customWidth="1"/>
    <col min="5" max="5" width="2.44140625" customWidth="1"/>
    <col min="6" max="6" width="3.109375" customWidth="1"/>
    <col min="7" max="7" width="4.88671875" customWidth="1"/>
    <col min="8" max="8" width="12.88671875" customWidth="1"/>
    <col min="9" max="9" width="15.88671875" customWidth="1"/>
    <col min="10" max="10" width="10.77734375" bestFit="1" customWidth="1"/>
    <col min="11" max="12" width="12.21875" bestFit="1" customWidth="1"/>
    <col min="13" max="13" width="11.88671875" bestFit="1" customWidth="1"/>
    <col min="14" max="18" width="10.77734375" bestFit="1" customWidth="1"/>
    <col min="19" max="19" width="11.33203125" bestFit="1" customWidth="1"/>
    <col min="20" max="21" width="10.77734375" bestFit="1" customWidth="1"/>
    <col min="22" max="22" width="11.88671875" bestFit="1" customWidth="1"/>
  </cols>
  <sheetData>
    <row r="1" spans="5:22">
      <c r="F1" s="126"/>
      <c r="G1" s="126"/>
      <c r="H1" s="126"/>
      <c r="I1" s="126"/>
      <c r="J1" s="126"/>
      <c r="K1" s="84"/>
    </row>
    <row r="2" spans="5:22">
      <c r="F2" s="126"/>
      <c r="G2" s="3"/>
      <c r="H2" s="126"/>
      <c r="I2" s="126"/>
      <c r="K2" s="2"/>
    </row>
    <row r="3" spans="5:22">
      <c r="E3" s="287" t="s">
        <v>20</v>
      </c>
      <c r="F3" s="285"/>
      <c r="G3" s="285"/>
      <c r="H3" s="285"/>
      <c r="I3" s="285"/>
      <c r="J3" s="285"/>
      <c r="K3" s="285"/>
      <c r="L3" s="285"/>
      <c r="M3" s="285"/>
    </row>
    <row r="4" spans="5:22">
      <c r="E4" s="287" t="s">
        <v>124</v>
      </c>
      <c r="F4" s="285"/>
      <c r="G4" s="285"/>
      <c r="H4" s="285"/>
      <c r="I4" s="285"/>
      <c r="J4" s="285"/>
      <c r="K4" s="285"/>
      <c r="L4" s="285"/>
      <c r="M4" s="285"/>
    </row>
    <row r="5" spans="5:22">
      <c r="E5" s="287"/>
      <c r="F5" s="285"/>
      <c r="G5" s="285"/>
      <c r="H5" s="285"/>
      <c r="I5" s="285"/>
      <c r="J5" s="285"/>
      <c r="K5" s="285"/>
      <c r="L5" s="285"/>
      <c r="M5" s="285"/>
    </row>
    <row r="6" spans="5:22" ht="14.4" hidden="1">
      <c r="E6" s="138"/>
      <c r="F6" s="137"/>
      <c r="G6" s="137"/>
      <c r="H6" s="137"/>
      <c r="I6" s="137"/>
      <c r="J6" s="127" t="s">
        <v>18</v>
      </c>
      <c r="K6" s="127" t="s">
        <v>19</v>
      </c>
      <c r="L6" s="128">
        <v>39934</v>
      </c>
      <c r="M6" s="128">
        <v>39934</v>
      </c>
    </row>
    <row r="7" spans="5:22">
      <c r="E7" s="85"/>
      <c r="J7" s="124"/>
    </row>
    <row r="8" spans="5:22">
      <c r="J8" s="288"/>
      <c r="K8" s="289"/>
      <c r="L8" s="289"/>
      <c r="M8" s="289"/>
    </row>
    <row r="9" spans="5:22">
      <c r="F9" s="126" t="s">
        <v>0</v>
      </c>
      <c r="G9" s="126"/>
      <c r="H9" s="139"/>
      <c r="I9" s="139"/>
      <c r="J9" s="129" t="s">
        <v>151</v>
      </c>
      <c r="K9" s="129" t="s">
        <v>51</v>
      </c>
      <c r="L9" s="129" t="s">
        <v>52</v>
      </c>
      <c r="M9" s="129" t="s">
        <v>53</v>
      </c>
      <c r="N9" s="129" t="s">
        <v>54</v>
      </c>
      <c r="O9" s="129" t="s">
        <v>55</v>
      </c>
      <c r="P9" s="129" t="s">
        <v>56</v>
      </c>
      <c r="Q9" s="129" t="s">
        <v>57</v>
      </c>
      <c r="R9" s="129" t="s">
        <v>58</v>
      </c>
      <c r="S9" s="129" t="s">
        <v>59</v>
      </c>
      <c r="T9" s="129" t="s">
        <v>60</v>
      </c>
      <c r="U9" s="129" t="s">
        <v>61</v>
      </c>
      <c r="V9" s="129" t="s">
        <v>50</v>
      </c>
    </row>
    <row r="10" spans="5:22">
      <c r="F10" s="126"/>
      <c r="G10" s="126" t="s">
        <v>1</v>
      </c>
      <c r="H10" s="126"/>
      <c r="I10" s="126"/>
      <c r="J10" s="130"/>
      <c r="K10" s="126"/>
      <c r="L10" s="126"/>
      <c r="M10" s="126"/>
    </row>
    <row r="11" spans="5:22">
      <c r="F11" s="1"/>
      <c r="G11" s="140" t="s">
        <v>2</v>
      </c>
      <c r="H11" s="1"/>
      <c r="I11" s="1"/>
      <c r="J11" s="86"/>
      <c r="K11" s="32"/>
      <c r="L11" s="32"/>
      <c r="M11" s="32"/>
      <c r="N11" s="2"/>
    </row>
    <row r="12" spans="5:22" s="4" customFormat="1">
      <c r="F12" s="1"/>
      <c r="G12" s="140"/>
      <c r="H12" s="1" t="s">
        <v>21</v>
      </c>
      <c r="I12" s="1"/>
      <c r="J12" s="32">
        <v>6336</v>
      </c>
      <c r="K12" s="32">
        <v>6000</v>
      </c>
      <c r="L12" s="32">
        <v>30000</v>
      </c>
      <c r="M12" s="32">
        <v>18000</v>
      </c>
      <c r="N12" s="32">
        <v>15000</v>
      </c>
      <c r="O12" s="32">
        <v>12000</v>
      </c>
      <c r="P12" s="32">
        <v>7000</v>
      </c>
      <c r="Q12" s="32">
        <v>7000</v>
      </c>
      <c r="R12" s="32">
        <v>36000</v>
      </c>
      <c r="S12" s="32">
        <v>27000</v>
      </c>
      <c r="T12" s="32">
        <v>12500</v>
      </c>
      <c r="U12" s="32">
        <v>6900</v>
      </c>
      <c r="V12" s="32">
        <v>6000</v>
      </c>
    </row>
    <row r="13" spans="5:22" s="4" customFormat="1">
      <c r="F13" s="1"/>
      <c r="G13" s="140"/>
      <c r="H13" s="1" t="s">
        <v>146</v>
      </c>
      <c r="I13" s="1"/>
      <c r="J13" s="32">
        <v>215616</v>
      </c>
      <c r="K13" s="32">
        <v>195100</v>
      </c>
      <c r="L13" s="32">
        <v>174000</v>
      </c>
      <c r="M13" s="32">
        <v>174500</v>
      </c>
      <c r="N13" s="32">
        <v>175000</v>
      </c>
      <c r="O13" s="32">
        <v>153000</v>
      </c>
      <c r="P13" s="32">
        <v>153500</v>
      </c>
      <c r="Q13" s="32">
        <v>133000</v>
      </c>
      <c r="R13" s="32">
        <v>133500</v>
      </c>
      <c r="S13" s="32">
        <v>118000</v>
      </c>
      <c r="T13" s="32">
        <v>118500</v>
      </c>
      <c r="U13" s="32">
        <v>119000</v>
      </c>
      <c r="V13" s="32">
        <v>119500</v>
      </c>
    </row>
    <row r="14" spans="5:22">
      <c r="F14" s="1"/>
      <c r="G14" s="140"/>
      <c r="H14" s="1" t="s">
        <v>132</v>
      </c>
      <c r="I14" s="1"/>
      <c r="J14" s="32">
        <v>38821</v>
      </c>
      <c r="K14" s="32">
        <v>32000</v>
      </c>
      <c r="L14" s="32">
        <v>30000</v>
      </c>
      <c r="M14" s="32">
        <v>28000</v>
      </c>
      <c r="N14" s="131">
        <v>26000</v>
      </c>
      <c r="O14" s="131">
        <v>25000</v>
      </c>
      <c r="P14" s="32">
        <v>24000</v>
      </c>
      <c r="Q14" s="32">
        <v>23000</v>
      </c>
      <c r="R14" s="32">
        <v>22000</v>
      </c>
      <c r="S14" s="32">
        <v>15000</v>
      </c>
      <c r="T14" s="32">
        <v>13000</v>
      </c>
      <c r="U14" s="32">
        <v>23000</v>
      </c>
      <c r="V14" s="32">
        <v>36000</v>
      </c>
    </row>
    <row r="15" spans="5:22">
      <c r="F15" s="1"/>
      <c r="G15" s="140"/>
      <c r="H15" s="1" t="s">
        <v>118</v>
      </c>
      <c r="I15" s="1"/>
      <c r="J15" s="32">
        <v>1510</v>
      </c>
      <c r="K15" s="32">
        <v>1510</v>
      </c>
      <c r="L15" s="32">
        <v>1510</v>
      </c>
      <c r="M15" s="32">
        <v>1510</v>
      </c>
      <c r="N15" s="131">
        <v>1510</v>
      </c>
      <c r="O15" s="131">
        <v>1510</v>
      </c>
      <c r="P15" s="32">
        <v>1510</v>
      </c>
      <c r="Q15" s="32">
        <v>1510</v>
      </c>
      <c r="R15" s="32">
        <v>1510</v>
      </c>
      <c r="S15" s="32">
        <v>1510</v>
      </c>
      <c r="T15" s="32">
        <v>1510</v>
      </c>
      <c r="U15" s="32">
        <v>1510</v>
      </c>
      <c r="V15" s="32">
        <v>1510</v>
      </c>
    </row>
    <row r="16" spans="5:22">
      <c r="F16" s="1"/>
      <c r="G16" s="140"/>
      <c r="H16" s="1" t="s">
        <v>127</v>
      </c>
      <c r="I16" s="1"/>
      <c r="J16" s="32">
        <v>1721</v>
      </c>
      <c r="K16" s="32">
        <v>1721</v>
      </c>
      <c r="L16" s="32">
        <v>1721</v>
      </c>
      <c r="M16" s="32">
        <v>1721</v>
      </c>
      <c r="N16" s="131">
        <v>1721</v>
      </c>
      <c r="O16" s="131">
        <v>1721</v>
      </c>
      <c r="P16" s="32">
        <v>1721</v>
      </c>
      <c r="Q16" s="32">
        <v>1721</v>
      </c>
      <c r="R16" s="32">
        <v>1721</v>
      </c>
      <c r="S16" s="32">
        <v>1721</v>
      </c>
      <c r="T16" s="32">
        <v>1721</v>
      </c>
      <c r="U16" s="32">
        <v>1721</v>
      </c>
      <c r="V16" s="32">
        <v>1721</v>
      </c>
    </row>
    <row r="17" spans="5:22">
      <c r="F17" s="1"/>
      <c r="G17" s="140"/>
      <c r="H17" s="251" t="s">
        <v>128</v>
      </c>
      <c r="I17" s="1"/>
      <c r="J17" s="32">
        <v>98616</v>
      </c>
      <c r="K17" s="32">
        <f>SUM(J17+'Income Statement'!B17-'Income Statement'!B57)</f>
        <v>98216</v>
      </c>
      <c r="L17" s="32">
        <f>SUM(K17+'Income Statement'!C17-'Income Statement'!C57)</f>
        <v>124516</v>
      </c>
      <c r="M17" s="32">
        <f>SUM(L17+'Income Statement'!D17-'Income Statement'!D57)</f>
        <v>168991</v>
      </c>
      <c r="N17" s="32">
        <f>SUM(M17+'Income Statement'!E17-'Income Statement'!E57)</f>
        <v>187191</v>
      </c>
      <c r="O17" s="32">
        <f>SUM(N17+'Income Statement'!F17-'Income Statement'!F57)</f>
        <v>195391</v>
      </c>
      <c r="P17" s="32">
        <f>SUM(O17+'Income Statement'!G17-'Income Statement'!G57)</f>
        <v>181791</v>
      </c>
      <c r="Q17" s="32">
        <f>SUM(P17+'Income Statement'!H17-'Income Statement'!H57)</f>
        <v>181591</v>
      </c>
      <c r="R17" s="32">
        <f>SUM(Q17+'Income Statement'!I17-'Income Statement'!I57)</f>
        <v>181311</v>
      </c>
      <c r="S17" s="32">
        <f>SUM((R17+'Income Statement'!J17-'Income Statement'!J57)-105000)</f>
        <v>99811</v>
      </c>
      <c r="T17" s="32">
        <f>SUM(S17+'Income Statement'!K17-'Income Statement'!K57)</f>
        <v>99611</v>
      </c>
      <c r="U17" s="32">
        <f>SUM(T17+'Income Statement'!L17-'Income Statement'!L57)</f>
        <v>99411</v>
      </c>
      <c r="V17" s="32">
        <f>SUM(U17+'Income Statement'!M17-'Income Statement'!M57)</f>
        <v>99211</v>
      </c>
    </row>
    <row r="18" spans="5:22">
      <c r="F18" s="1"/>
      <c r="G18" s="140"/>
      <c r="H18" s="1" t="s">
        <v>131</v>
      </c>
      <c r="I18" s="1"/>
      <c r="J18" s="32">
        <v>6104</v>
      </c>
      <c r="K18" s="32">
        <v>6104</v>
      </c>
      <c r="L18" s="32">
        <v>6104</v>
      </c>
      <c r="M18" s="32">
        <v>6104</v>
      </c>
      <c r="N18" s="131">
        <v>6104</v>
      </c>
      <c r="O18" s="131">
        <v>6104</v>
      </c>
      <c r="P18" s="32">
        <v>6104</v>
      </c>
      <c r="Q18" s="32">
        <v>6104</v>
      </c>
      <c r="R18" s="32">
        <v>6104</v>
      </c>
      <c r="S18" s="32">
        <v>6104</v>
      </c>
      <c r="T18" s="32">
        <v>6104</v>
      </c>
      <c r="U18" s="32">
        <v>6104</v>
      </c>
      <c r="V18" s="32">
        <v>6104</v>
      </c>
    </row>
    <row r="19" spans="5:22">
      <c r="F19" s="1"/>
      <c r="G19" s="140"/>
      <c r="H19" s="1" t="s">
        <v>135</v>
      </c>
      <c r="I19" s="1"/>
      <c r="J19" s="32">
        <v>0</v>
      </c>
      <c r="K19" s="32">
        <v>0</v>
      </c>
      <c r="L19" s="32">
        <v>0</v>
      </c>
      <c r="M19" s="32">
        <v>0</v>
      </c>
      <c r="N19" s="131">
        <v>0</v>
      </c>
      <c r="O19" s="131">
        <v>0</v>
      </c>
      <c r="P19" s="32">
        <v>1500</v>
      </c>
      <c r="Q19" s="32">
        <v>0</v>
      </c>
      <c r="R19" s="32">
        <v>0</v>
      </c>
      <c r="S19" s="32">
        <v>0</v>
      </c>
      <c r="T19" s="32">
        <v>0</v>
      </c>
      <c r="U19" s="32">
        <v>0</v>
      </c>
      <c r="V19" s="32">
        <v>0</v>
      </c>
    </row>
    <row r="20" spans="5:22" ht="15">
      <c r="F20" s="1"/>
      <c r="G20" s="140"/>
      <c r="H20" s="1" t="s">
        <v>22</v>
      </c>
      <c r="I20" s="1"/>
      <c r="J20" s="87">
        <v>261869</v>
      </c>
      <c r="K20" s="87">
        <f>SUM(K21-K12-K13-K14-K15-K16-K17-K18-K19)</f>
        <v>342324.62</v>
      </c>
      <c r="L20" s="87">
        <f t="shared" ref="L20:V20" si="0">SUM(L21-L12-L13-L14-L15-L16-L17-L18-L19)</f>
        <v>332677</v>
      </c>
      <c r="M20" s="87">
        <f t="shared" si="0"/>
        <v>342980.65</v>
      </c>
      <c r="N20" s="87">
        <f t="shared" si="0"/>
        <v>316963</v>
      </c>
      <c r="O20" s="87">
        <f t="shared" si="0"/>
        <v>307352</v>
      </c>
      <c r="P20" s="87">
        <f t="shared" si="0"/>
        <v>271603</v>
      </c>
      <c r="Q20" s="87">
        <f t="shared" si="0"/>
        <v>274935</v>
      </c>
      <c r="R20" s="87">
        <f t="shared" si="0"/>
        <v>278196</v>
      </c>
      <c r="S20" s="87">
        <f t="shared" si="0"/>
        <v>300415</v>
      </c>
      <c r="T20" s="87">
        <f t="shared" si="0"/>
        <v>218669</v>
      </c>
      <c r="U20" s="87">
        <f t="shared" si="0"/>
        <v>291455</v>
      </c>
      <c r="V20" s="87">
        <f t="shared" si="0"/>
        <v>311454</v>
      </c>
    </row>
    <row r="21" spans="5:22">
      <c r="F21" s="1"/>
      <c r="G21" s="140"/>
      <c r="H21" s="1" t="s">
        <v>23</v>
      </c>
      <c r="I21" s="1"/>
      <c r="J21" s="32">
        <f>SUM(J12:J20)</f>
        <v>630593</v>
      </c>
      <c r="K21" s="32">
        <f>CF!G33</f>
        <v>682975.62</v>
      </c>
      <c r="L21" s="32">
        <f>CF!H33</f>
        <v>700528</v>
      </c>
      <c r="M21" s="32">
        <f>CF!I33</f>
        <v>741806.65</v>
      </c>
      <c r="N21" s="32">
        <f>CF!J33</f>
        <v>729489</v>
      </c>
      <c r="O21" s="32">
        <f>CF!K33</f>
        <v>702078</v>
      </c>
      <c r="P21" s="32">
        <f>CF!L33</f>
        <v>648729</v>
      </c>
      <c r="Q21" s="32">
        <f>CF!M33</f>
        <v>628861</v>
      </c>
      <c r="R21" s="32">
        <f>CF!N33</f>
        <v>660342</v>
      </c>
      <c r="S21" s="32">
        <f>CF!O33</f>
        <v>569561</v>
      </c>
      <c r="T21" s="32">
        <f>CF!P33</f>
        <v>471615</v>
      </c>
      <c r="U21" s="32">
        <f>CF!Q33</f>
        <v>549101</v>
      </c>
      <c r="V21" s="32">
        <f>CF!R33</f>
        <v>581500</v>
      </c>
    </row>
    <row r="22" spans="5:22">
      <c r="E22" s="88"/>
      <c r="F22" s="1"/>
      <c r="G22" s="140" t="s">
        <v>28</v>
      </c>
      <c r="H22" s="1"/>
      <c r="I22" s="1"/>
      <c r="J22" s="32">
        <v>0</v>
      </c>
      <c r="K22" s="32">
        <v>300</v>
      </c>
      <c r="L22" s="32">
        <f>SUM('BS wrksht'!D14)</f>
        <v>6000</v>
      </c>
      <c r="M22" s="32">
        <f>SUM('BS wrksht'!E14)</f>
        <v>3000</v>
      </c>
      <c r="N22" s="32">
        <f>SUM('BS wrksht'!F14)</f>
        <v>9000</v>
      </c>
      <c r="O22" s="32">
        <f>SUM('BS wrksht'!G14)</f>
        <v>0</v>
      </c>
      <c r="P22" s="32">
        <f>SUM('BS wrksht'!H14)</f>
        <v>3000</v>
      </c>
      <c r="Q22" s="32">
        <f>SUM('BS wrksht'!I14)</f>
        <v>6000</v>
      </c>
      <c r="R22" s="32">
        <f>SUM('BS wrksht'!J14)</f>
        <v>12000</v>
      </c>
      <c r="S22" s="32">
        <f>SUM('BS wrksht'!K14)</f>
        <v>6000</v>
      </c>
      <c r="T22" s="32">
        <f>SUM('BS wrksht'!L14)</f>
        <v>6000</v>
      </c>
      <c r="U22" s="32">
        <f>SUM('BS wrksht'!M14)</f>
        <v>0</v>
      </c>
      <c r="V22" s="32">
        <f>SUM('BS wrksht'!N14)</f>
        <v>0</v>
      </c>
    </row>
    <row r="23" spans="5:22">
      <c r="E23" s="88"/>
      <c r="F23" s="1"/>
      <c r="G23" s="140" t="s">
        <v>29</v>
      </c>
      <c r="H23" s="1"/>
      <c r="I23" s="1"/>
      <c r="J23" s="32">
        <v>41374</v>
      </c>
      <c r="K23" s="32">
        <f>SUM('BS wrksht'!C9)</f>
        <v>127833</v>
      </c>
      <c r="L23" s="32">
        <f>SUM('BS wrksht'!D9)</f>
        <v>461913</v>
      </c>
      <c r="M23" s="32">
        <f>SUM('BS wrksht'!E9)</f>
        <v>49353.349999999977</v>
      </c>
      <c r="N23" s="32">
        <f>SUM('BS wrksht'!F9)</f>
        <v>22782.999999999978</v>
      </c>
      <c r="O23" s="32">
        <f>SUM('BS wrksht'!G9)</f>
        <v>22782.999999999978</v>
      </c>
      <c r="P23" s="32">
        <f>SUM('BS wrksht'!H9)</f>
        <v>44782.999999999971</v>
      </c>
      <c r="Q23" s="32">
        <f>SUM('BS wrksht'!I9)</f>
        <v>24782.999999999971</v>
      </c>
      <c r="R23" s="32">
        <f>SUM('BS wrksht'!J9)</f>
        <v>63582.999999999971</v>
      </c>
      <c r="S23" s="32">
        <f>SUM('BS wrksht'!K9)</f>
        <v>67512.999999999971</v>
      </c>
      <c r="T23" s="32">
        <f>SUM('BS wrksht'!L9)</f>
        <v>105082.99999999997</v>
      </c>
      <c r="U23" s="32">
        <f>SUM('BS wrksht'!M9)</f>
        <v>35082.999999999971</v>
      </c>
      <c r="V23" s="32">
        <f>SUM('BS wrksht'!N9)</f>
        <v>237083</v>
      </c>
    </row>
    <row r="24" spans="5:22" s="4" customFormat="1">
      <c r="E24" s="88"/>
      <c r="F24" s="1"/>
      <c r="G24" s="140" t="s">
        <v>24</v>
      </c>
      <c r="H24" s="1"/>
      <c r="I24" s="1"/>
      <c r="J24" s="32">
        <v>41872</v>
      </c>
      <c r="K24" s="32">
        <f>SUM('BS wrksht'!C20)</f>
        <v>42172</v>
      </c>
      <c r="L24" s="32">
        <f>SUM('BS wrksht'!D20)</f>
        <v>47872</v>
      </c>
      <c r="M24" s="32">
        <f>SUM('BS wrksht'!E20)</f>
        <v>44872</v>
      </c>
      <c r="N24" s="32">
        <f>SUM('BS wrksht'!F20)</f>
        <v>50872</v>
      </c>
      <c r="O24" s="32">
        <f>SUM('BS wrksht'!G20)</f>
        <v>41872</v>
      </c>
      <c r="P24" s="32">
        <f>SUM('BS wrksht'!H20)</f>
        <v>44872</v>
      </c>
      <c r="Q24" s="32">
        <f>SUM('BS wrksht'!I20)</f>
        <v>47872</v>
      </c>
      <c r="R24" s="32">
        <f>SUM('BS wrksht'!J20)</f>
        <v>53872</v>
      </c>
      <c r="S24" s="32">
        <f>SUM('BS wrksht'!K20)</f>
        <v>47872</v>
      </c>
      <c r="T24" s="32">
        <f>SUM('BS wrksht'!L20)</f>
        <v>47872</v>
      </c>
      <c r="U24" s="32">
        <f>SUM('BS wrksht'!M20)</f>
        <v>41872</v>
      </c>
      <c r="V24" s="32">
        <f>SUM('BS wrksht'!N20)</f>
        <v>41872</v>
      </c>
    </row>
    <row r="25" spans="5:22">
      <c r="E25" s="4"/>
      <c r="F25" s="1"/>
      <c r="G25" s="140" t="s">
        <v>3</v>
      </c>
      <c r="H25" s="1"/>
      <c r="I25" s="1"/>
      <c r="J25" s="32">
        <v>3048</v>
      </c>
      <c r="K25" s="32">
        <v>4000</v>
      </c>
      <c r="L25" s="32">
        <v>7000</v>
      </c>
      <c r="M25" s="32">
        <v>8000</v>
      </c>
      <c r="N25" s="32">
        <v>9000</v>
      </c>
      <c r="O25" s="32">
        <v>8400</v>
      </c>
      <c r="P25" s="32">
        <v>13000</v>
      </c>
      <c r="Q25" s="32">
        <v>12400</v>
      </c>
      <c r="R25" s="32">
        <v>11400</v>
      </c>
      <c r="S25" s="32">
        <v>9000</v>
      </c>
      <c r="T25" s="32">
        <v>5000</v>
      </c>
      <c r="U25" s="32">
        <v>4000</v>
      </c>
      <c r="V25" s="32">
        <v>3000</v>
      </c>
    </row>
    <row r="26" spans="5:22">
      <c r="F26" s="1"/>
      <c r="G26" s="140" t="s">
        <v>25</v>
      </c>
      <c r="H26" s="1"/>
      <c r="I26" s="1"/>
      <c r="J26" s="32">
        <v>28664</v>
      </c>
      <c r="K26" s="86">
        <v>0</v>
      </c>
      <c r="L26" s="86">
        <v>0</v>
      </c>
      <c r="M26" s="86">
        <v>0</v>
      </c>
      <c r="N26" s="86">
        <v>0</v>
      </c>
      <c r="O26" s="86">
        <v>0</v>
      </c>
      <c r="P26" s="86">
        <v>0</v>
      </c>
      <c r="Q26" s="86">
        <v>0</v>
      </c>
      <c r="R26" s="86">
        <v>0</v>
      </c>
      <c r="S26" s="86">
        <v>0</v>
      </c>
      <c r="T26" s="86">
        <v>0</v>
      </c>
      <c r="U26" s="86">
        <v>0</v>
      </c>
      <c r="V26" s="86">
        <v>0</v>
      </c>
    </row>
    <row r="27" spans="5:22" ht="11.25" customHeight="1">
      <c r="G27" s="126" t="s">
        <v>4</v>
      </c>
      <c r="H27" s="126"/>
      <c r="I27" s="126"/>
      <c r="J27" s="89">
        <f>SUM(J21:J26)</f>
        <v>745551</v>
      </c>
      <c r="K27" s="89">
        <f>SUM(K21:K26)</f>
        <v>857280.62</v>
      </c>
      <c r="L27" s="89">
        <f t="shared" ref="L27:V27" si="1">SUM(L21:L26)</f>
        <v>1223313</v>
      </c>
      <c r="M27" s="89">
        <f t="shared" si="1"/>
        <v>847032</v>
      </c>
      <c r="N27" s="89">
        <f t="shared" si="1"/>
        <v>821144</v>
      </c>
      <c r="O27" s="89">
        <f t="shared" si="1"/>
        <v>775133</v>
      </c>
      <c r="P27" s="89">
        <f t="shared" si="1"/>
        <v>754384</v>
      </c>
      <c r="Q27" s="89">
        <f t="shared" si="1"/>
        <v>719916</v>
      </c>
      <c r="R27" s="89">
        <f t="shared" si="1"/>
        <v>801197</v>
      </c>
      <c r="S27" s="89">
        <f t="shared" si="1"/>
        <v>699946</v>
      </c>
      <c r="T27" s="89">
        <f t="shared" si="1"/>
        <v>635570</v>
      </c>
      <c r="U27" s="89">
        <f t="shared" si="1"/>
        <v>630056</v>
      </c>
      <c r="V27" s="89">
        <f t="shared" si="1"/>
        <v>863455</v>
      </c>
    </row>
    <row r="28" spans="5:22">
      <c r="G28" s="126"/>
      <c r="H28" s="126"/>
      <c r="I28" s="126"/>
      <c r="J28" s="90"/>
      <c r="K28" s="91"/>
      <c r="L28" s="91"/>
      <c r="M28" s="91"/>
      <c r="N28" s="124"/>
      <c r="O28" s="124"/>
      <c r="P28" s="124"/>
      <c r="Q28" s="124"/>
      <c r="R28" s="124"/>
      <c r="S28" s="124"/>
      <c r="T28" s="124"/>
      <c r="U28" s="124"/>
      <c r="V28" s="124"/>
    </row>
    <row r="29" spans="5:22">
      <c r="F29" s="141"/>
      <c r="G29" s="126" t="s">
        <v>5</v>
      </c>
      <c r="H29" s="1"/>
      <c r="I29" s="1"/>
      <c r="J29" s="90"/>
      <c r="K29" s="91"/>
      <c r="L29" s="91"/>
      <c r="M29" s="91"/>
      <c r="N29" s="124"/>
      <c r="O29" s="124"/>
      <c r="P29" s="124"/>
      <c r="Q29" s="124"/>
      <c r="R29" s="124"/>
      <c r="S29" s="124"/>
      <c r="T29" s="124"/>
      <c r="U29" s="124"/>
      <c r="V29" s="124"/>
    </row>
    <row r="30" spans="5:22">
      <c r="F30" s="1"/>
      <c r="G30" s="1" t="s">
        <v>6</v>
      </c>
      <c r="H30" s="1"/>
      <c r="I30" s="1"/>
      <c r="J30" s="32">
        <v>156666</v>
      </c>
      <c r="K30" s="32">
        <v>156666</v>
      </c>
      <c r="L30" s="32">
        <v>156666</v>
      </c>
      <c r="M30" s="32">
        <v>156666</v>
      </c>
      <c r="N30" s="32">
        <v>156666</v>
      </c>
      <c r="O30" s="32">
        <v>156666</v>
      </c>
      <c r="P30" s="32">
        <v>156666</v>
      </c>
      <c r="Q30" s="32">
        <v>156666</v>
      </c>
      <c r="R30" s="32">
        <v>156666</v>
      </c>
      <c r="S30" s="32">
        <v>156666</v>
      </c>
      <c r="T30" s="32">
        <v>156666</v>
      </c>
      <c r="U30" s="32">
        <v>156666</v>
      </c>
      <c r="V30" s="32">
        <v>156666</v>
      </c>
    </row>
    <row r="31" spans="5:22" s="4" customFormat="1">
      <c r="E31"/>
      <c r="F31" s="1"/>
      <c r="G31" s="1" t="s">
        <v>7</v>
      </c>
      <c r="H31" s="1"/>
      <c r="I31" s="1"/>
      <c r="J31" s="32">
        <v>-15458</v>
      </c>
      <c r="K31" s="32">
        <v>-15458</v>
      </c>
      <c r="L31" s="32">
        <v>-15458</v>
      </c>
      <c r="M31" s="32">
        <v>-15458</v>
      </c>
      <c r="N31" s="32">
        <v>-15458</v>
      </c>
      <c r="O31" s="32">
        <v>-15458</v>
      </c>
      <c r="P31" s="32">
        <v>-15458</v>
      </c>
      <c r="Q31" s="32">
        <v>-15458</v>
      </c>
      <c r="R31" s="32">
        <v>-15458</v>
      </c>
      <c r="S31" s="32">
        <v>-15458</v>
      </c>
      <c r="T31" s="32">
        <v>-15458</v>
      </c>
      <c r="U31" s="32">
        <v>-15458</v>
      </c>
      <c r="V31" s="32">
        <v>-15458</v>
      </c>
    </row>
    <row r="32" spans="5:22" ht="16.8" customHeight="1">
      <c r="E32" s="4"/>
      <c r="F32" s="4"/>
      <c r="G32" s="3" t="s">
        <v>8</v>
      </c>
      <c r="H32" s="3"/>
      <c r="I32" s="3"/>
      <c r="J32" s="92">
        <f>SUM(J30:J31)</f>
        <v>141208</v>
      </c>
      <c r="K32" s="92">
        <f>SUM(K30:K31)</f>
        <v>141208</v>
      </c>
      <c r="L32" s="92">
        <f t="shared" ref="L32:V32" si="2">SUM(L30:L31)</f>
        <v>141208</v>
      </c>
      <c r="M32" s="92">
        <f t="shared" si="2"/>
        <v>141208</v>
      </c>
      <c r="N32" s="92">
        <f t="shared" si="2"/>
        <v>141208</v>
      </c>
      <c r="O32" s="92">
        <f t="shared" si="2"/>
        <v>141208</v>
      </c>
      <c r="P32" s="92">
        <f t="shared" si="2"/>
        <v>141208</v>
      </c>
      <c r="Q32" s="92">
        <f t="shared" si="2"/>
        <v>141208</v>
      </c>
      <c r="R32" s="92">
        <f t="shared" si="2"/>
        <v>141208</v>
      </c>
      <c r="S32" s="92">
        <f t="shared" si="2"/>
        <v>141208</v>
      </c>
      <c r="T32" s="92">
        <f t="shared" si="2"/>
        <v>141208</v>
      </c>
      <c r="U32" s="92">
        <f t="shared" si="2"/>
        <v>141208</v>
      </c>
      <c r="V32" s="92">
        <f t="shared" si="2"/>
        <v>141208</v>
      </c>
    </row>
    <row r="33" spans="5:22" s="4" customFormat="1">
      <c r="E33"/>
      <c r="F33"/>
      <c r="G33" s="126"/>
      <c r="H33" s="126"/>
      <c r="I33" s="126"/>
      <c r="J33" s="132"/>
      <c r="K33" s="93"/>
      <c r="L33" s="93"/>
      <c r="M33" s="93"/>
      <c r="N33" s="93"/>
      <c r="O33" s="93"/>
      <c r="P33" s="93"/>
      <c r="Q33" s="93"/>
      <c r="R33" s="93"/>
      <c r="S33" s="93"/>
      <c r="T33" s="93"/>
      <c r="U33" s="93"/>
      <c r="V33" s="93"/>
    </row>
    <row r="34" spans="5:22" s="4" customFormat="1">
      <c r="G34" s="140" t="s">
        <v>147</v>
      </c>
      <c r="H34" s="1"/>
      <c r="I34" s="1"/>
      <c r="J34" s="142">
        <v>280</v>
      </c>
      <c r="K34" s="142">
        <v>280</v>
      </c>
      <c r="L34" s="142">
        <v>280</v>
      </c>
      <c r="M34" s="142">
        <v>280</v>
      </c>
      <c r="N34" s="142">
        <v>280</v>
      </c>
      <c r="O34" s="142">
        <v>280</v>
      </c>
      <c r="P34" s="142">
        <v>280</v>
      </c>
      <c r="Q34" s="142">
        <v>280</v>
      </c>
      <c r="R34" s="142">
        <v>280</v>
      </c>
      <c r="S34" s="142">
        <v>280</v>
      </c>
      <c r="T34" s="142">
        <v>280</v>
      </c>
      <c r="U34" s="142">
        <v>280</v>
      </c>
      <c r="V34" s="142">
        <v>280</v>
      </c>
    </row>
    <row r="35" spans="5:22">
      <c r="E35" s="4"/>
      <c r="F35" s="1"/>
      <c r="G35" s="143" t="s">
        <v>148</v>
      </c>
      <c r="H35" s="1"/>
      <c r="I35" s="1"/>
      <c r="J35" s="32">
        <v>89669</v>
      </c>
      <c r="K35" s="32">
        <f>SUM(J35+775)</f>
        <v>90444</v>
      </c>
      <c r="L35" s="32">
        <f t="shared" ref="L35:V35" si="3">SUM(K35+775)</f>
        <v>91219</v>
      </c>
      <c r="M35" s="32">
        <f t="shared" si="3"/>
        <v>91994</v>
      </c>
      <c r="N35" s="32">
        <f t="shared" si="3"/>
        <v>92769</v>
      </c>
      <c r="O35" s="32">
        <f t="shared" si="3"/>
        <v>93544</v>
      </c>
      <c r="P35" s="32">
        <f t="shared" si="3"/>
        <v>94319</v>
      </c>
      <c r="Q35" s="32">
        <f t="shared" si="3"/>
        <v>95094</v>
      </c>
      <c r="R35" s="32">
        <f t="shared" si="3"/>
        <v>95869</v>
      </c>
      <c r="S35" s="32">
        <f t="shared" si="3"/>
        <v>96644</v>
      </c>
      <c r="T35" s="32">
        <f t="shared" si="3"/>
        <v>97419</v>
      </c>
      <c r="U35" s="32">
        <f t="shared" si="3"/>
        <v>98194</v>
      </c>
      <c r="V35" s="32">
        <f t="shared" si="3"/>
        <v>98969</v>
      </c>
    </row>
    <row r="36" spans="5:22" ht="13.8" thickBot="1">
      <c r="G36" s="126" t="s">
        <v>9</v>
      </c>
      <c r="H36" s="126"/>
      <c r="I36" s="126"/>
      <c r="J36" s="94">
        <f>J27+J32+J34+J35</f>
        <v>976708</v>
      </c>
      <c r="K36" s="94">
        <f t="shared" ref="K36:V36" si="4">K27+K32+K34+K35</f>
        <v>1089212.6200000001</v>
      </c>
      <c r="L36" s="94">
        <f t="shared" si="4"/>
        <v>1456020</v>
      </c>
      <c r="M36" s="94">
        <f t="shared" si="4"/>
        <v>1080514</v>
      </c>
      <c r="N36" s="94">
        <f t="shared" si="4"/>
        <v>1055401</v>
      </c>
      <c r="O36" s="94">
        <f t="shared" si="4"/>
        <v>1010165</v>
      </c>
      <c r="P36" s="94">
        <f t="shared" si="4"/>
        <v>990191</v>
      </c>
      <c r="Q36" s="94">
        <f t="shared" si="4"/>
        <v>956498</v>
      </c>
      <c r="R36" s="94">
        <f t="shared" si="4"/>
        <v>1038554</v>
      </c>
      <c r="S36" s="94">
        <f t="shared" si="4"/>
        <v>938078</v>
      </c>
      <c r="T36" s="94">
        <f t="shared" si="4"/>
        <v>874477</v>
      </c>
      <c r="U36" s="94">
        <f t="shared" si="4"/>
        <v>869738</v>
      </c>
      <c r="V36" s="94">
        <f t="shared" si="4"/>
        <v>1103912</v>
      </c>
    </row>
    <row r="37" spans="5:22" ht="13.8" thickTop="1">
      <c r="F37" s="1"/>
      <c r="G37" s="1"/>
      <c r="H37" s="1"/>
      <c r="I37" s="1"/>
      <c r="J37" s="90"/>
      <c r="K37" s="91"/>
      <c r="L37" s="91"/>
      <c r="M37" s="91"/>
      <c r="N37" s="124"/>
      <c r="O37" s="124"/>
      <c r="P37" s="124"/>
      <c r="Q37" s="124"/>
      <c r="R37" s="124"/>
      <c r="S37" s="124"/>
      <c r="T37" s="124"/>
      <c r="U37" s="124"/>
      <c r="V37" s="124"/>
    </row>
    <row r="38" spans="5:22">
      <c r="F38" s="126" t="s">
        <v>10</v>
      </c>
      <c r="G38" s="126"/>
      <c r="H38" s="126"/>
      <c r="I38" s="126"/>
      <c r="J38" s="133"/>
      <c r="K38" s="95"/>
      <c r="L38" s="95"/>
      <c r="M38" s="95"/>
      <c r="N38" s="124"/>
      <c r="O38" s="124"/>
      <c r="P38" s="124"/>
      <c r="Q38" s="124"/>
      <c r="R38" s="124"/>
      <c r="S38" s="124"/>
      <c r="T38" s="124"/>
      <c r="U38" s="124"/>
      <c r="V38" s="124"/>
    </row>
    <row r="39" spans="5:22" s="4" customFormat="1">
      <c r="E39"/>
      <c r="F39"/>
      <c r="G39" s="126" t="s">
        <v>11</v>
      </c>
      <c r="H39" s="126"/>
      <c r="I39" s="126"/>
      <c r="J39" s="32"/>
      <c r="K39" s="86"/>
      <c r="L39" s="86"/>
      <c r="M39" s="86"/>
      <c r="N39" s="124"/>
      <c r="O39" s="124"/>
      <c r="P39" s="124"/>
      <c r="Q39" s="124"/>
      <c r="R39" s="124"/>
      <c r="S39" s="124"/>
      <c r="T39" s="124"/>
      <c r="U39" s="124"/>
      <c r="V39" s="124"/>
    </row>
    <row r="40" spans="5:22">
      <c r="E40" s="4"/>
      <c r="F40" s="4"/>
      <c r="G40" s="140" t="s">
        <v>12</v>
      </c>
      <c r="H40" s="1"/>
      <c r="I40" s="1"/>
      <c r="J40" s="32">
        <v>28482</v>
      </c>
      <c r="K40" s="32">
        <f>SUM('BS wrksht'!C26)</f>
        <v>182021</v>
      </c>
      <c r="L40" s="32">
        <f>SUM('BS wrksht'!D26)</f>
        <v>476176</v>
      </c>
      <c r="M40" s="32">
        <f>SUM('BS wrksht'!E26)</f>
        <v>114288</v>
      </c>
      <c r="N40" s="32">
        <f>SUM('BS wrksht'!F26)</f>
        <v>68236</v>
      </c>
      <c r="O40" s="32">
        <f>SUM('BS wrksht'!G26)</f>
        <v>83499</v>
      </c>
      <c r="P40" s="32">
        <f>SUM('BS wrksht'!H26)</f>
        <v>78718</v>
      </c>
      <c r="Q40" s="32">
        <f>SUM('BS wrksht'!I26)</f>
        <v>100289</v>
      </c>
      <c r="R40" s="32">
        <f>SUM('BS wrksht'!J26)</f>
        <v>176626</v>
      </c>
      <c r="S40" s="32">
        <f>SUM('BS wrksht'!K26)</f>
        <v>161276</v>
      </c>
      <c r="T40" s="32">
        <f>SUM('BS wrksht'!L26)</f>
        <v>76914</v>
      </c>
      <c r="U40" s="32">
        <f>SUM('BS wrksht'!M26)</f>
        <v>62051</v>
      </c>
      <c r="V40" s="32">
        <f>SUM('BS wrksht'!N26)</f>
        <v>259128</v>
      </c>
    </row>
    <row r="41" spans="5:22" s="4" customFormat="1">
      <c r="E41"/>
      <c r="F41"/>
      <c r="G41" s="140" t="s">
        <v>27</v>
      </c>
      <c r="H41" s="1"/>
      <c r="I41" s="1"/>
      <c r="J41" s="32">
        <v>38821</v>
      </c>
      <c r="K41" s="32">
        <v>32000</v>
      </c>
      <c r="L41" s="32">
        <v>30000</v>
      </c>
      <c r="M41" s="32">
        <v>28000</v>
      </c>
      <c r="N41" s="131">
        <v>26000</v>
      </c>
      <c r="O41" s="131">
        <v>25000</v>
      </c>
      <c r="P41" s="32">
        <v>24000</v>
      </c>
      <c r="Q41" s="32">
        <v>23000</v>
      </c>
      <c r="R41" s="32">
        <v>22000</v>
      </c>
      <c r="S41" s="32">
        <v>15000</v>
      </c>
      <c r="T41" s="32">
        <v>13000</v>
      </c>
      <c r="U41" s="32">
        <v>23000</v>
      </c>
      <c r="V41" s="32">
        <v>36000</v>
      </c>
    </row>
    <row r="42" spans="5:22" s="4" customFormat="1">
      <c r="G42" s="140" t="s">
        <v>101</v>
      </c>
      <c r="H42" s="1"/>
      <c r="I42" s="1"/>
      <c r="J42" s="32">
        <v>6336</v>
      </c>
      <c r="K42" s="32">
        <v>6000</v>
      </c>
      <c r="L42" s="32">
        <v>30000</v>
      </c>
      <c r="M42" s="32">
        <v>18000</v>
      </c>
      <c r="N42" s="32">
        <v>15000</v>
      </c>
      <c r="O42" s="32">
        <v>12000</v>
      </c>
      <c r="P42" s="32">
        <v>7000</v>
      </c>
      <c r="Q42" s="32">
        <v>7000</v>
      </c>
      <c r="R42" s="32">
        <v>36000</v>
      </c>
      <c r="S42" s="32">
        <v>27000</v>
      </c>
      <c r="T42" s="32">
        <v>12500</v>
      </c>
      <c r="U42" s="32">
        <v>6900</v>
      </c>
      <c r="V42" s="32">
        <v>6000</v>
      </c>
    </row>
    <row r="43" spans="5:22" s="4" customFormat="1">
      <c r="G43" s="140" t="s">
        <v>100</v>
      </c>
      <c r="H43" s="1"/>
      <c r="I43" s="1"/>
      <c r="J43" s="32">
        <v>5016</v>
      </c>
      <c r="K43" s="32">
        <v>25000</v>
      </c>
      <c r="L43" s="32">
        <v>50000</v>
      </c>
      <c r="M43" s="32">
        <v>63000</v>
      </c>
      <c r="N43" s="32">
        <v>41000</v>
      </c>
      <c r="O43" s="32">
        <v>13000</v>
      </c>
      <c r="P43" s="32">
        <v>23000</v>
      </c>
      <c r="Q43" s="32">
        <v>30000</v>
      </c>
      <c r="R43" s="32">
        <v>50000</v>
      </c>
      <c r="S43" s="32">
        <v>18000</v>
      </c>
      <c r="T43" s="32">
        <v>4000</v>
      </c>
      <c r="U43" s="32">
        <v>14000</v>
      </c>
      <c r="V43" s="32">
        <v>4000</v>
      </c>
    </row>
    <row r="44" spans="5:22" s="4" customFormat="1">
      <c r="G44" s="140" t="s">
        <v>156</v>
      </c>
      <c r="H44" s="1"/>
      <c r="I44" s="1"/>
      <c r="J44" s="32">
        <v>100000</v>
      </c>
      <c r="K44" s="32">
        <v>78927</v>
      </c>
      <c r="L44" s="32">
        <v>78927.38</v>
      </c>
      <c r="M44" s="32">
        <v>57927.38</v>
      </c>
      <c r="N44" s="32">
        <v>57927.38</v>
      </c>
      <c r="O44" s="32">
        <v>36927.379999999997</v>
      </c>
      <c r="P44" s="32">
        <v>36927.379999999997</v>
      </c>
      <c r="Q44" s="32">
        <v>15927.38</v>
      </c>
      <c r="R44" s="32">
        <v>15927.38</v>
      </c>
      <c r="S44" s="32">
        <v>0</v>
      </c>
      <c r="T44" s="32">
        <v>0</v>
      </c>
      <c r="U44" s="32">
        <v>0</v>
      </c>
      <c r="V44" s="32">
        <v>0</v>
      </c>
    </row>
    <row r="45" spans="5:22">
      <c r="E45" s="4"/>
      <c r="F45" s="4"/>
      <c r="G45" s="140" t="s">
        <v>30</v>
      </c>
      <c r="H45" s="1"/>
      <c r="I45" s="1"/>
      <c r="J45" s="32">
        <v>8448</v>
      </c>
      <c r="K45" s="32">
        <v>8500</v>
      </c>
      <c r="L45" s="32">
        <v>9300</v>
      </c>
      <c r="M45" s="32">
        <v>8500</v>
      </c>
      <c r="N45" s="32">
        <v>8000</v>
      </c>
      <c r="O45" s="32">
        <v>8000</v>
      </c>
      <c r="P45" s="32">
        <v>8000</v>
      </c>
      <c r="Q45" s="32">
        <v>8000</v>
      </c>
      <c r="R45" s="32">
        <v>8000</v>
      </c>
      <c r="S45" s="32">
        <v>8000</v>
      </c>
      <c r="T45" s="32">
        <v>8000</v>
      </c>
      <c r="U45" s="32">
        <v>8000</v>
      </c>
      <c r="V45" s="32">
        <v>8000</v>
      </c>
    </row>
    <row r="46" spans="5:22">
      <c r="G46" s="126" t="s">
        <v>13</v>
      </c>
      <c r="H46" s="126"/>
      <c r="I46" s="126"/>
      <c r="J46" s="92">
        <f t="shared" ref="J46:V46" si="5">SUM(J40:J45)</f>
        <v>187103</v>
      </c>
      <c r="K46" s="92">
        <f t="shared" si="5"/>
        <v>332448</v>
      </c>
      <c r="L46" s="92">
        <f t="shared" si="5"/>
        <v>674403.38</v>
      </c>
      <c r="M46" s="92">
        <f t="shared" si="5"/>
        <v>289715.38</v>
      </c>
      <c r="N46" s="92">
        <f t="shared" si="5"/>
        <v>216163.38</v>
      </c>
      <c r="O46" s="92">
        <f t="shared" si="5"/>
        <v>178426.38</v>
      </c>
      <c r="P46" s="92">
        <f t="shared" si="5"/>
        <v>177645.38</v>
      </c>
      <c r="Q46" s="92">
        <f t="shared" si="5"/>
        <v>184216.38</v>
      </c>
      <c r="R46" s="92">
        <f t="shared" si="5"/>
        <v>308553.38</v>
      </c>
      <c r="S46" s="92">
        <f t="shared" si="5"/>
        <v>229276</v>
      </c>
      <c r="T46" s="92">
        <f t="shared" si="5"/>
        <v>114414</v>
      </c>
      <c r="U46" s="92">
        <f t="shared" si="5"/>
        <v>113951</v>
      </c>
      <c r="V46" s="92">
        <f t="shared" si="5"/>
        <v>313128</v>
      </c>
    </row>
    <row r="47" spans="5:22">
      <c r="F47" s="126"/>
      <c r="G47" s="126" t="s">
        <v>14</v>
      </c>
      <c r="H47" s="126"/>
      <c r="I47" s="126"/>
      <c r="J47" s="90"/>
      <c r="K47" s="91"/>
      <c r="L47" s="91"/>
      <c r="M47" s="91"/>
      <c r="N47" s="124"/>
      <c r="O47" s="124"/>
      <c r="P47" s="124"/>
      <c r="Q47" s="124"/>
      <c r="R47" s="124"/>
      <c r="S47" s="124"/>
      <c r="T47" s="124"/>
      <c r="U47" s="124"/>
      <c r="V47" s="124"/>
    </row>
    <row r="48" spans="5:22">
      <c r="G48" s="140" t="s">
        <v>31</v>
      </c>
      <c r="H48" s="1"/>
      <c r="I48" s="1"/>
      <c r="J48" s="32">
        <v>740601</v>
      </c>
      <c r="K48" s="32">
        <v>789604</v>
      </c>
      <c r="L48" s="32">
        <v>789604</v>
      </c>
      <c r="M48" s="32">
        <v>789604</v>
      </c>
      <c r="N48" s="32">
        <v>789604</v>
      </c>
      <c r="O48" s="32">
        <v>789604</v>
      </c>
      <c r="P48" s="32">
        <v>789604</v>
      </c>
      <c r="Q48" s="32">
        <v>789604</v>
      </c>
      <c r="R48" s="32">
        <v>789604</v>
      </c>
      <c r="S48" s="32">
        <v>789604</v>
      </c>
      <c r="T48" s="32">
        <v>789604</v>
      </c>
      <c r="U48" s="32">
        <v>789604</v>
      </c>
      <c r="V48" s="32">
        <v>789604</v>
      </c>
    </row>
    <row r="49" spans="5:22">
      <c r="F49" s="4"/>
      <c r="G49" s="140" t="s">
        <v>15</v>
      </c>
      <c r="H49" s="1"/>
      <c r="I49" s="1"/>
      <c r="J49" s="32">
        <v>49003</v>
      </c>
      <c r="K49" s="32">
        <f>'Income Statement'!B77</f>
        <v>-32840.380000000005</v>
      </c>
      <c r="L49" s="32">
        <f>K49+'Income Statement'!C77</f>
        <v>-7988.3800000000047</v>
      </c>
      <c r="M49" s="32">
        <f>L49+'Income Statement'!D77</f>
        <v>1193.6199999999953</v>
      </c>
      <c r="N49" s="32">
        <f>M49+'Income Statement'!E77</f>
        <v>49632.619999999995</v>
      </c>
      <c r="O49" s="32">
        <f>N49+'Income Statement'!F77</f>
        <v>42133.619999999995</v>
      </c>
      <c r="P49" s="32">
        <f>O49+'Income Statement'!G77</f>
        <v>22940.619999999995</v>
      </c>
      <c r="Q49" s="32">
        <f>P49+'Income Statement'!H77</f>
        <v>-17323.380000000005</v>
      </c>
      <c r="R49" s="32">
        <f>Q49+'Income Statement'!I77</f>
        <v>-59604.380000000005</v>
      </c>
      <c r="S49" s="32">
        <f>R49+'Income Statement'!J77</f>
        <v>-80803</v>
      </c>
      <c r="T49" s="32">
        <f>S49+'Income Statement'!K77</f>
        <v>-29542</v>
      </c>
      <c r="U49" s="32">
        <f>T49+'Income Statement'!L77</f>
        <v>-33818</v>
      </c>
      <c r="V49" s="32">
        <f>U49+'Income Statement'!M77</f>
        <v>1179</v>
      </c>
    </row>
    <row r="50" spans="5:22">
      <c r="F50" s="126"/>
      <c r="G50" s="126" t="s">
        <v>16</v>
      </c>
      <c r="H50" s="126"/>
      <c r="I50" s="126"/>
      <c r="J50" s="89">
        <f>SUM(J48:J49)</f>
        <v>789604</v>
      </c>
      <c r="K50" s="89">
        <f>SUM(K48:K49)</f>
        <v>756763.62</v>
      </c>
      <c r="L50" s="89">
        <f>SUM(L48:L49)</f>
        <v>781615.62</v>
      </c>
      <c r="M50" s="89">
        <f t="shared" ref="M50:V50" si="6">SUM(M48:M49)</f>
        <v>790797.62</v>
      </c>
      <c r="N50" s="89">
        <f t="shared" si="6"/>
        <v>839236.62</v>
      </c>
      <c r="O50" s="89">
        <f t="shared" si="6"/>
        <v>831737.62</v>
      </c>
      <c r="P50" s="89">
        <f t="shared" si="6"/>
        <v>812544.62</v>
      </c>
      <c r="Q50" s="89">
        <f t="shared" si="6"/>
        <v>772280.62</v>
      </c>
      <c r="R50" s="89">
        <f t="shared" si="6"/>
        <v>729999.62</v>
      </c>
      <c r="S50" s="89">
        <f t="shared" si="6"/>
        <v>708801</v>
      </c>
      <c r="T50" s="89">
        <f t="shared" si="6"/>
        <v>760062</v>
      </c>
      <c r="U50" s="89">
        <f t="shared" si="6"/>
        <v>755786</v>
      </c>
      <c r="V50" s="89">
        <f t="shared" si="6"/>
        <v>790783</v>
      </c>
    </row>
    <row r="51" spans="5:22" ht="13.8" thickBot="1">
      <c r="F51" s="126"/>
      <c r="G51" s="126" t="s">
        <v>17</v>
      </c>
      <c r="H51" s="126"/>
      <c r="I51" s="126"/>
      <c r="J51" s="94">
        <f>J46+J50</f>
        <v>976707</v>
      </c>
      <c r="K51" s="94">
        <f>K46+K50</f>
        <v>1089211.6200000001</v>
      </c>
      <c r="L51" s="94">
        <f>L46+L50</f>
        <v>1456019</v>
      </c>
      <c r="M51" s="94">
        <f t="shared" ref="M51:V51" si="7">M46+M50</f>
        <v>1080513</v>
      </c>
      <c r="N51" s="94">
        <f t="shared" si="7"/>
        <v>1055400</v>
      </c>
      <c r="O51" s="94">
        <f t="shared" si="7"/>
        <v>1010164</v>
      </c>
      <c r="P51" s="94">
        <f t="shared" si="7"/>
        <v>990190</v>
      </c>
      <c r="Q51" s="94">
        <f t="shared" si="7"/>
        <v>956497</v>
      </c>
      <c r="R51" s="94">
        <f t="shared" si="7"/>
        <v>1038553</v>
      </c>
      <c r="S51" s="94">
        <f t="shared" si="7"/>
        <v>938077</v>
      </c>
      <c r="T51" s="94">
        <f t="shared" si="7"/>
        <v>874476</v>
      </c>
      <c r="U51" s="94">
        <f t="shared" si="7"/>
        <v>869737</v>
      </c>
      <c r="V51" s="94">
        <f t="shared" si="7"/>
        <v>1103911</v>
      </c>
    </row>
    <row r="52" spans="5:22" s="4" customFormat="1" ht="13.8" thickTop="1">
      <c r="E52"/>
      <c r="F52" s="126"/>
      <c r="G52" s="126"/>
      <c r="H52" s="126"/>
      <c r="I52" s="126"/>
      <c r="J52" s="90"/>
      <c r="K52" s="91"/>
      <c r="L52" s="124"/>
      <c r="M52" s="124"/>
      <c r="N52" s="124"/>
      <c r="O52" s="124"/>
      <c r="P52" s="124"/>
      <c r="Q52" s="124"/>
      <c r="R52" s="124"/>
      <c r="S52" s="124"/>
      <c r="T52" s="124"/>
      <c r="U52" s="124"/>
      <c r="V52" s="124"/>
    </row>
    <row r="53" spans="5:22">
      <c r="E53" s="4"/>
      <c r="F53" s="4"/>
      <c r="G53" s="3" t="s">
        <v>99</v>
      </c>
      <c r="H53" s="4"/>
      <c r="I53" s="4"/>
      <c r="J53" s="131">
        <f t="shared" ref="J53:V53" si="8">J36-J51</f>
        <v>1</v>
      </c>
      <c r="K53" s="131">
        <f t="shared" si="8"/>
        <v>1</v>
      </c>
      <c r="L53" s="131">
        <f t="shared" si="8"/>
        <v>1</v>
      </c>
      <c r="M53" s="131">
        <f t="shared" si="8"/>
        <v>1</v>
      </c>
      <c r="N53" s="131">
        <f t="shared" si="8"/>
        <v>1</v>
      </c>
      <c r="O53" s="131">
        <f t="shared" si="8"/>
        <v>1</v>
      </c>
      <c r="P53" s="131">
        <f t="shared" si="8"/>
        <v>1</v>
      </c>
      <c r="Q53" s="131">
        <f t="shared" si="8"/>
        <v>1</v>
      </c>
      <c r="R53" s="131">
        <f t="shared" si="8"/>
        <v>1</v>
      </c>
      <c r="S53" s="131">
        <f t="shared" si="8"/>
        <v>1</v>
      </c>
      <c r="T53" s="131">
        <f t="shared" si="8"/>
        <v>1</v>
      </c>
      <c r="U53" s="131">
        <f t="shared" si="8"/>
        <v>1</v>
      </c>
      <c r="V53" s="131">
        <f t="shared" si="8"/>
        <v>1</v>
      </c>
    </row>
    <row r="54" spans="5:22"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</sheetData>
  <mergeCells count="4">
    <mergeCell ref="E4:M4"/>
    <mergeCell ref="E5:M5"/>
    <mergeCell ref="E3:M3"/>
    <mergeCell ref="J8:M8"/>
  </mergeCells>
  <printOptions horizontalCentered="1"/>
  <pageMargins left="0.25" right="0.25" top="0.75" bottom="0.5" header="0.5" footer="0.5"/>
  <pageSetup scale="73" orientation="landscape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3:T37"/>
  <sheetViews>
    <sheetView zoomScale="75" zoomScaleNormal="75" zoomScalePageLayoutView="85" workbookViewId="0">
      <selection activeCell="X16" sqref="X16"/>
    </sheetView>
  </sheetViews>
  <sheetFormatPr defaultRowHeight="13.2"/>
  <cols>
    <col min="2" max="2" width="8.33203125" customWidth="1"/>
    <col min="7" max="18" width="10.6640625" customWidth="1"/>
    <col min="19" max="19" width="10.109375" bestFit="1" customWidth="1"/>
  </cols>
  <sheetData>
    <row r="3" spans="1:20">
      <c r="A3" s="287" t="s">
        <v>20</v>
      </c>
      <c r="B3" s="285"/>
      <c r="C3" s="285"/>
      <c r="D3" s="285"/>
      <c r="E3" s="285"/>
      <c r="F3" s="285"/>
      <c r="G3" s="285"/>
    </row>
    <row r="4" spans="1:20">
      <c r="A4" s="287" t="s">
        <v>125</v>
      </c>
      <c r="B4" s="285"/>
      <c r="C4" s="285"/>
      <c r="D4" s="285"/>
      <c r="E4" s="285"/>
      <c r="F4" s="285"/>
      <c r="G4" s="285"/>
    </row>
    <row r="5" spans="1:20">
      <c r="G5" s="7" t="s">
        <v>51</v>
      </c>
      <c r="H5" s="7" t="s">
        <v>52</v>
      </c>
      <c r="I5" s="7" t="s">
        <v>53</v>
      </c>
      <c r="J5" s="7" t="s">
        <v>54</v>
      </c>
      <c r="K5" s="7" t="s">
        <v>55</v>
      </c>
      <c r="L5" s="7" t="s">
        <v>56</v>
      </c>
      <c r="M5" s="7" t="s">
        <v>57</v>
      </c>
      <c r="N5" s="7" t="s">
        <v>58</v>
      </c>
      <c r="O5" s="7" t="s">
        <v>59</v>
      </c>
      <c r="P5" s="7" t="s">
        <v>60</v>
      </c>
      <c r="Q5" s="7" t="s">
        <v>61</v>
      </c>
      <c r="R5" s="7" t="s">
        <v>50</v>
      </c>
      <c r="S5" s="7"/>
      <c r="T5" s="7"/>
    </row>
    <row r="6" spans="1:20">
      <c r="A6" s="3" t="s">
        <v>32</v>
      </c>
    </row>
    <row r="7" spans="1:20">
      <c r="A7" s="1" t="s">
        <v>33</v>
      </c>
      <c r="G7" s="8">
        <f>SUM('Income Statement'!B77)</f>
        <v>-32840.380000000005</v>
      </c>
      <c r="H7" s="8">
        <f>'Income Statement'!C77</f>
        <v>24852</v>
      </c>
      <c r="I7" s="8">
        <f>'Income Statement'!D77</f>
        <v>9182</v>
      </c>
      <c r="J7" s="8">
        <f>'Income Statement'!E77</f>
        <v>48439</v>
      </c>
      <c r="K7" s="8">
        <f>'Income Statement'!F77</f>
        <v>-7499</v>
      </c>
      <c r="L7" s="8">
        <f>'Income Statement'!G77</f>
        <v>-19193</v>
      </c>
      <c r="M7" s="8">
        <f>'Income Statement'!H77</f>
        <v>-40264</v>
      </c>
      <c r="N7" s="8">
        <f>'Income Statement'!I77</f>
        <v>-42281</v>
      </c>
      <c r="O7" s="8">
        <f>'Income Statement'!J77</f>
        <v>-21198.619999999995</v>
      </c>
      <c r="P7" s="8">
        <f>'Income Statement'!K77</f>
        <v>51261</v>
      </c>
      <c r="Q7" s="8">
        <f>'Income Statement'!L77</f>
        <v>-4276</v>
      </c>
      <c r="R7" s="8">
        <f>'Income Statement'!M77</f>
        <v>34997</v>
      </c>
      <c r="S7" s="2">
        <f>SUM(G7:R7)</f>
        <v>1179</v>
      </c>
    </row>
    <row r="8" spans="1:20">
      <c r="A8" s="3" t="s">
        <v>34</v>
      </c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</row>
    <row r="9" spans="1:20">
      <c r="A9" s="5" t="s">
        <v>35</v>
      </c>
      <c r="G9" s="8">
        <f>BS!K31-BS!J31</f>
        <v>0</v>
      </c>
      <c r="H9" s="8">
        <f>BS!L31-BS!K31</f>
        <v>0</v>
      </c>
      <c r="I9" s="8">
        <f>BS!M31-BS!L31</f>
        <v>0</v>
      </c>
      <c r="J9" s="8">
        <f>BS!N31-BS!M31</f>
        <v>0</v>
      </c>
      <c r="K9" s="8">
        <f>BS!O31-BS!N31</f>
        <v>0</v>
      </c>
      <c r="L9" s="8">
        <f>BS!P31-BS!O31</f>
        <v>0</v>
      </c>
      <c r="M9" s="8">
        <f>BS!Q31-BS!P31</f>
        <v>0</v>
      </c>
      <c r="N9" s="8">
        <f>BS!R31-BS!Q31</f>
        <v>0</v>
      </c>
      <c r="O9" s="8">
        <f>BS!S31-BS!R31</f>
        <v>0</v>
      </c>
      <c r="P9" s="8">
        <f>BS!T31-BS!S31</f>
        <v>0</v>
      </c>
      <c r="Q9" s="8">
        <f>BS!U31-BS!T31</f>
        <v>0</v>
      </c>
      <c r="R9" s="8">
        <f>BS!V31-BS!U31</f>
        <v>0</v>
      </c>
      <c r="S9" s="2">
        <f>SUM(G9:R9)</f>
        <v>0</v>
      </c>
    </row>
    <row r="10" spans="1:20">
      <c r="A10" s="1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</row>
    <row r="11" spans="1:20">
      <c r="A11" s="3" t="s">
        <v>36</v>
      </c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</row>
    <row r="12" spans="1:20">
      <c r="A12" s="5" t="s">
        <v>37</v>
      </c>
      <c r="G12" s="8">
        <f>(BS!J22+BS!J23)-(BS!K22+BS!K23)</f>
        <v>-86759</v>
      </c>
      <c r="H12" s="8">
        <f>(BS!K22+BS!K23)-(BS!L22+BS!L23)</f>
        <v>-339780</v>
      </c>
      <c r="I12" s="8">
        <f>(BS!L22+BS!L23)-(BS!M22+BS!M23)</f>
        <v>415559.65</v>
      </c>
      <c r="J12" s="8">
        <f>(BS!M22+BS!M23)-(BS!N22+BS!N23)</f>
        <v>20570.349999999999</v>
      </c>
      <c r="K12" s="8">
        <f>(BS!N22+BS!N23)-(BS!O22+BS!O23)</f>
        <v>9000</v>
      </c>
      <c r="L12" s="8">
        <f>(BS!O22+BS!O23)-(BS!P22+BS!P23)</f>
        <v>-24999.999999999993</v>
      </c>
      <c r="M12" s="8">
        <f>(BS!P22+BS!P23)-(BS!Q22+BS!Q23)</f>
        <v>17000</v>
      </c>
      <c r="N12" s="8">
        <f>(BS!Q22+BS!Q23)-(BS!R22+BS!R23)</f>
        <v>-44800</v>
      </c>
      <c r="O12" s="8">
        <f>(BS!R22+BS!R23)-(BS!S22+BS!S23)</f>
        <v>2070</v>
      </c>
      <c r="P12" s="8">
        <f>(BS!S22+BS!S23)-(BS!T22+BS!T23)</f>
        <v>-37570</v>
      </c>
      <c r="Q12" s="8">
        <f>(BS!T22+BS!T23)-(BS!U22+BS!U23)</f>
        <v>76000</v>
      </c>
      <c r="R12" s="8">
        <f>(BS!U22+BS!U23)-(BS!V22+BS!V23)</f>
        <v>-202000.00000000003</v>
      </c>
      <c r="S12" s="2">
        <f t="shared" ref="S12:S21" si="0">SUM(G12:R12)</f>
        <v>-195709</v>
      </c>
    </row>
    <row r="13" spans="1:20">
      <c r="A13" s="5" t="s">
        <v>24</v>
      </c>
      <c r="G13" s="8">
        <f>BS!J24-BS!K24</f>
        <v>-300</v>
      </c>
      <c r="H13" s="8">
        <f>BS!K24-BS!L24</f>
        <v>-5700</v>
      </c>
      <c r="I13" s="8">
        <f>BS!L24-BS!M24</f>
        <v>3000</v>
      </c>
      <c r="J13" s="8">
        <f>BS!M24-BS!N24</f>
        <v>-6000</v>
      </c>
      <c r="K13" s="8">
        <f>BS!N24-BS!O24</f>
        <v>9000</v>
      </c>
      <c r="L13" s="8">
        <f>BS!O24-BS!P24</f>
        <v>-3000</v>
      </c>
      <c r="M13" s="8">
        <f>BS!P24-BS!Q24</f>
        <v>-3000</v>
      </c>
      <c r="N13" s="8">
        <f>BS!Q24-BS!R24</f>
        <v>-6000</v>
      </c>
      <c r="O13" s="8">
        <f>BS!R24-BS!S24</f>
        <v>6000</v>
      </c>
      <c r="P13" s="8">
        <f>BS!S24-BS!T24</f>
        <v>0</v>
      </c>
      <c r="Q13" s="8">
        <f>BS!T24-BS!U24</f>
        <v>6000</v>
      </c>
      <c r="R13" s="8">
        <f>BS!U24-BS!V24</f>
        <v>0</v>
      </c>
      <c r="S13" s="2">
        <f t="shared" si="0"/>
        <v>0</v>
      </c>
    </row>
    <row r="14" spans="1:20">
      <c r="A14" s="5" t="s">
        <v>3</v>
      </c>
      <c r="G14" s="8">
        <f>BS!J25-BS!K25</f>
        <v>-952</v>
      </c>
      <c r="H14" s="8">
        <f>BS!K25-BS!L25</f>
        <v>-3000</v>
      </c>
      <c r="I14" s="8">
        <f>BS!L25-BS!M25</f>
        <v>-1000</v>
      </c>
      <c r="J14" s="8">
        <f>BS!M25-BS!N25</f>
        <v>-1000</v>
      </c>
      <c r="K14" s="8">
        <f>BS!N25-BS!O25</f>
        <v>600</v>
      </c>
      <c r="L14" s="8">
        <f>BS!O25-BS!P25</f>
        <v>-4600</v>
      </c>
      <c r="M14" s="8">
        <f>BS!P25-BS!Q25</f>
        <v>600</v>
      </c>
      <c r="N14" s="8">
        <f>BS!Q25-BS!R25</f>
        <v>1000</v>
      </c>
      <c r="O14" s="8">
        <f>BS!R25-BS!S25</f>
        <v>2400</v>
      </c>
      <c r="P14" s="8">
        <f>BS!S25-BS!T25</f>
        <v>4000</v>
      </c>
      <c r="Q14" s="8">
        <f>BS!T25-BS!U25</f>
        <v>1000</v>
      </c>
      <c r="R14" s="8">
        <f>BS!U25-BS!V25</f>
        <v>1000</v>
      </c>
      <c r="S14" s="2">
        <f t="shared" si="0"/>
        <v>48</v>
      </c>
    </row>
    <row r="15" spans="1:20">
      <c r="A15" s="5" t="s">
        <v>25</v>
      </c>
      <c r="G15" s="8">
        <f>BS!J26-BS!K26</f>
        <v>28664</v>
      </c>
      <c r="H15" s="8">
        <f>BS!K26-BS!L26</f>
        <v>0</v>
      </c>
      <c r="I15" s="8">
        <f>BS!L26-BS!M26</f>
        <v>0</v>
      </c>
      <c r="J15" s="8">
        <f>BS!M26-BS!N26</f>
        <v>0</v>
      </c>
      <c r="K15" s="8">
        <f>BS!N26-BS!O26</f>
        <v>0</v>
      </c>
      <c r="L15" s="8">
        <f>BS!O26-BS!P26</f>
        <v>0</v>
      </c>
      <c r="M15" s="8">
        <f>BS!P26-BS!Q26</f>
        <v>0</v>
      </c>
      <c r="N15" s="8">
        <f>BS!Q26-BS!R26</f>
        <v>0</v>
      </c>
      <c r="O15" s="8">
        <f>BS!R26-BS!S26</f>
        <v>0</v>
      </c>
      <c r="P15" s="8">
        <f>BS!S26-BS!T26</f>
        <v>0</v>
      </c>
      <c r="Q15" s="8">
        <f>BS!T26-BS!U26</f>
        <v>0</v>
      </c>
      <c r="R15" s="8">
        <f>BS!U26-BS!V26</f>
        <v>0</v>
      </c>
      <c r="S15" s="2">
        <f t="shared" si="0"/>
        <v>28664</v>
      </c>
    </row>
    <row r="16" spans="1:20">
      <c r="A16" s="5" t="s">
        <v>26</v>
      </c>
      <c r="G16" s="8">
        <f>BS!J35-BS!K35</f>
        <v>-775</v>
      </c>
      <c r="H16" s="8">
        <f>BS!K35-BS!L35</f>
        <v>-775</v>
      </c>
      <c r="I16" s="8">
        <f>BS!L35-BS!M35</f>
        <v>-775</v>
      </c>
      <c r="J16" s="8">
        <f>BS!M35-BS!N35</f>
        <v>-775</v>
      </c>
      <c r="K16" s="8">
        <f>BS!N35-BS!O35</f>
        <v>-775</v>
      </c>
      <c r="L16" s="8">
        <f>BS!O35-BS!P35</f>
        <v>-775</v>
      </c>
      <c r="M16" s="8">
        <f>BS!P35-BS!Q35</f>
        <v>-775</v>
      </c>
      <c r="N16" s="8">
        <f>BS!Q35-BS!R35</f>
        <v>-775</v>
      </c>
      <c r="O16" s="8">
        <f>BS!R35-BS!S35</f>
        <v>-775</v>
      </c>
      <c r="P16" s="8">
        <f>BS!S35-BS!T35</f>
        <v>-775</v>
      </c>
      <c r="Q16" s="8">
        <f>BS!T35-BS!U35</f>
        <v>-775</v>
      </c>
      <c r="R16" s="8">
        <f>BS!U35-BS!V35</f>
        <v>-775</v>
      </c>
      <c r="S16" s="2">
        <f>SUM(G16:R16)</f>
        <v>-9300</v>
      </c>
    </row>
    <row r="17" spans="1:19">
      <c r="A17" s="5" t="s">
        <v>38</v>
      </c>
      <c r="G17" s="8">
        <f>BS!K40-BS!J40</f>
        <v>153539</v>
      </c>
      <c r="H17" s="8">
        <f>BS!L40-BS!K40</f>
        <v>294155</v>
      </c>
      <c r="I17" s="8">
        <f>BS!M40-BS!L40</f>
        <v>-361888</v>
      </c>
      <c r="J17" s="8">
        <f>BS!N40-BS!M40</f>
        <v>-46052</v>
      </c>
      <c r="K17" s="8">
        <f>BS!O40-BS!N40</f>
        <v>15263</v>
      </c>
      <c r="L17" s="8">
        <f>BS!P40-BS!O40</f>
        <v>-4781</v>
      </c>
      <c r="M17" s="8">
        <f>BS!Q40-BS!P40</f>
        <v>21571</v>
      </c>
      <c r="N17" s="8">
        <f>BS!R40-BS!Q40</f>
        <v>76337</v>
      </c>
      <c r="O17" s="8">
        <f>BS!S40-BS!R40</f>
        <v>-15350</v>
      </c>
      <c r="P17" s="8">
        <f>BS!T40-BS!S40</f>
        <v>-84362</v>
      </c>
      <c r="Q17" s="8">
        <f>BS!U40-BS!T40</f>
        <v>-14863</v>
      </c>
      <c r="R17" s="8">
        <f>BS!V40-BS!U40</f>
        <v>197077</v>
      </c>
      <c r="S17" s="2">
        <f t="shared" si="0"/>
        <v>230646</v>
      </c>
    </row>
    <row r="18" spans="1:19">
      <c r="A18" s="5" t="s">
        <v>44</v>
      </c>
      <c r="G18" s="8">
        <f>(BS!K42-BS!J42)+(BS!K43-BS!J43)+(BS!K44-BS!J44)</f>
        <v>-1425</v>
      </c>
      <c r="H18" s="8">
        <f>(BS!L42-BS!K42)+(BS!L43-BS!K43)+(BS!L44-BS!K44)</f>
        <v>49000.380000000005</v>
      </c>
      <c r="I18" s="8">
        <f>(BS!M42-BS!L42)+(BS!M43-BS!L43)+(BS!M44-BS!L44)</f>
        <v>-20000.000000000007</v>
      </c>
      <c r="J18" s="8">
        <f>(BS!N42-BS!M42)+(BS!N43-BS!M43)+(BS!N44-BS!M44)</f>
        <v>-25000</v>
      </c>
      <c r="K18" s="8">
        <f>(BS!O42-BS!N42)+(BS!O43-BS!N43)+(BS!O44-BS!N44)</f>
        <v>-52000</v>
      </c>
      <c r="L18" s="8">
        <f>(BS!P42-BS!O42)+(BS!P43-BS!O43)+(BS!P44-BS!O44)</f>
        <v>5000</v>
      </c>
      <c r="M18" s="8">
        <f>(BS!Q42-BS!P42)+(BS!Q43-BS!P43)+(BS!Q44-BS!P44)</f>
        <v>-14000</v>
      </c>
      <c r="N18" s="8">
        <f>(BS!R42-BS!Q42)+(BS!R43-BS!Q43)+(BS!R44-BS!Q44)</f>
        <v>49000</v>
      </c>
      <c r="O18" s="8">
        <f>(BS!S42-BS!R42)+(BS!S43-BS!R43)+(BS!S44-BS!R44)</f>
        <v>-56927.38</v>
      </c>
      <c r="P18" s="8">
        <f>(BS!T42-BS!S42)+(BS!T43-BS!S43)+(BS!T44-BS!S44)</f>
        <v>-28500</v>
      </c>
      <c r="Q18" s="8">
        <f>(BS!U42-BS!T42)+(BS!U43-BS!T43)+(BS!U44-BS!T44)</f>
        <v>4400</v>
      </c>
      <c r="R18" s="8">
        <f>(BS!V42-BS!U42)+(BS!V43-BS!U43)+(BS!V44-BS!U44)</f>
        <v>-10900</v>
      </c>
      <c r="S18" s="2">
        <f t="shared" si="0"/>
        <v>-101352</v>
      </c>
    </row>
    <row r="19" spans="1:19">
      <c r="A19" s="5" t="s">
        <v>45</v>
      </c>
      <c r="G19" s="8">
        <f>BS!K41-BS!J41</f>
        <v>-6821</v>
      </c>
      <c r="H19" s="8">
        <f>BS!L41-BS!K41</f>
        <v>-2000</v>
      </c>
      <c r="I19" s="8">
        <f>BS!M41-BS!L41</f>
        <v>-2000</v>
      </c>
      <c r="J19" s="8">
        <f>BS!N41-BS!M41</f>
        <v>-2000</v>
      </c>
      <c r="K19" s="8">
        <f>BS!O41-BS!N41</f>
        <v>-1000</v>
      </c>
      <c r="L19" s="8">
        <f>BS!P41-BS!O41</f>
        <v>-1000</v>
      </c>
      <c r="M19" s="8">
        <f>BS!Q41-BS!P41</f>
        <v>-1000</v>
      </c>
      <c r="N19" s="8">
        <f>BS!R41-BS!Q41</f>
        <v>-1000</v>
      </c>
      <c r="O19" s="8">
        <f>BS!S41-BS!R41</f>
        <v>-7000</v>
      </c>
      <c r="P19" s="8">
        <f>BS!T41-BS!S41</f>
        <v>-2000</v>
      </c>
      <c r="Q19" s="8">
        <f>BS!U41-BS!T41</f>
        <v>10000</v>
      </c>
      <c r="R19" s="8">
        <f>BS!V41-BS!U41</f>
        <v>13000</v>
      </c>
      <c r="S19" s="2">
        <f t="shared" si="0"/>
        <v>-2821</v>
      </c>
    </row>
    <row r="20" spans="1:19">
      <c r="A20" s="5" t="s">
        <v>30</v>
      </c>
      <c r="G20" s="8">
        <f>BS!K45-BS!J45</f>
        <v>52</v>
      </c>
      <c r="H20" s="8">
        <f>BS!L45-BS!K45</f>
        <v>800</v>
      </c>
      <c r="I20" s="8">
        <f>BS!M45-BS!L45</f>
        <v>-800</v>
      </c>
      <c r="J20" s="8">
        <f>BS!N45-BS!M45</f>
        <v>-500</v>
      </c>
      <c r="K20" s="8">
        <f>BS!O45-BS!N45</f>
        <v>0</v>
      </c>
      <c r="L20" s="8">
        <f>BS!P45-BS!O45</f>
        <v>0</v>
      </c>
      <c r="M20" s="8">
        <f>BS!Q45-BS!P45</f>
        <v>0</v>
      </c>
      <c r="N20" s="8">
        <f>BS!R45-BS!Q45</f>
        <v>0</v>
      </c>
      <c r="O20" s="8">
        <f>BS!S45-BS!R45</f>
        <v>0</v>
      </c>
      <c r="P20" s="8">
        <f>BS!T45-BS!S45</f>
        <v>0</v>
      </c>
      <c r="Q20" s="8">
        <f>BS!U45-BS!T45</f>
        <v>0</v>
      </c>
      <c r="R20" s="8">
        <f>BS!V45-BS!U45</f>
        <v>0</v>
      </c>
      <c r="S20" s="2">
        <f t="shared" si="0"/>
        <v>-448</v>
      </c>
    </row>
    <row r="21" spans="1:19">
      <c r="A21" s="3" t="s">
        <v>39</v>
      </c>
      <c r="G21" s="8">
        <f>SUM(G7:G20)</f>
        <v>52382.619999999995</v>
      </c>
      <c r="H21" s="8">
        <f t="shared" ref="H21:R21" si="1">SUM(H7:H20)</f>
        <v>17552.380000000005</v>
      </c>
      <c r="I21" s="8">
        <f t="shared" si="1"/>
        <v>41278.650000000016</v>
      </c>
      <c r="J21" s="8">
        <f t="shared" si="1"/>
        <v>-12317.649999999994</v>
      </c>
      <c r="K21" s="8">
        <f t="shared" si="1"/>
        <v>-27411</v>
      </c>
      <c r="L21" s="8">
        <f t="shared" si="1"/>
        <v>-53348.999999999993</v>
      </c>
      <c r="M21" s="8">
        <f t="shared" si="1"/>
        <v>-19868</v>
      </c>
      <c r="N21" s="8">
        <f t="shared" si="1"/>
        <v>31481</v>
      </c>
      <c r="O21" s="8">
        <f t="shared" si="1"/>
        <v>-90781</v>
      </c>
      <c r="P21" s="8">
        <f t="shared" si="1"/>
        <v>-97946</v>
      </c>
      <c r="Q21" s="8">
        <f t="shared" si="1"/>
        <v>77486</v>
      </c>
      <c r="R21" s="8">
        <f t="shared" si="1"/>
        <v>32398.999999999971</v>
      </c>
      <c r="S21" s="2">
        <f t="shared" si="0"/>
        <v>-49093</v>
      </c>
    </row>
    <row r="22" spans="1:19">
      <c r="A22" s="3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</row>
    <row r="23" spans="1:19">
      <c r="A23" s="3" t="s">
        <v>40</v>
      </c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</row>
    <row r="24" spans="1:19">
      <c r="A24" s="5" t="s">
        <v>41</v>
      </c>
      <c r="G24" s="8">
        <f>BS!J30-BS!K30</f>
        <v>0</v>
      </c>
      <c r="H24" s="8">
        <f>BS!K30-BS!L30</f>
        <v>0</v>
      </c>
      <c r="I24" s="8">
        <f>BS!L30-BS!M30</f>
        <v>0</v>
      </c>
      <c r="J24" s="8">
        <f>BS!M30-BS!N30</f>
        <v>0</v>
      </c>
      <c r="K24" s="8">
        <f>BS!N30-BS!O30</f>
        <v>0</v>
      </c>
      <c r="L24" s="8">
        <f>BS!O30-BS!P30</f>
        <v>0</v>
      </c>
      <c r="M24" s="8">
        <f>BS!P30-BS!Q30</f>
        <v>0</v>
      </c>
      <c r="N24" s="8">
        <f>BS!Q30-BS!R30</f>
        <v>0</v>
      </c>
      <c r="O24" s="8">
        <f>BS!R30-BS!S30</f>
        <v>0</v>
      </c>
      <c r="P24" s="8">
        <f>BS!S30-BS!T30</f>
        <v>0</v>
      </c>
      <c r="Q24" s="8">
        <f>BS!T30-BS!U30</f>
        <v>0</v>
      </c>
      <c r="R24" s="8">
        <f>BS!U30-BS!V30</f>
        <v>0</v>
      </c>
      <c r="S24" s="2">
        <f>SUM(G24:R24)</f>
        <v>0</v>
      </c>
    </row>
    <row r="25" spans="1:19">
      <c r="A25" s="1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</row>
    <row r="26" spans="1:19">
      <c r="A26" s="3" t="s">
        <v>42</v>
      </c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</row>
    <row r="27" spans="1:19">
      <c r="A27" s="5" t="s">
        <v>46</v>
      </c>
      <c r="G27" s="8">
        <v>0</v>
      </c>
      <c r="H27" s="8">
        <v>0</v>
      </c>
      <c r="I27" s="8">
        <v>0</v>
      </c>
      <c r="J27" s="8">
        <v>0</v>
      </c>
      <c r="K27" s="8">
        <v>0</v>
      </c>
      <c r="L27" s="8">
        <v>0</v>
      </c>
      <c r="M27" s="8">
        <v>0</v>
      </c>
      <c r="N27" s="8">
        <v>0</v>
      </c>
      <c r="O27" s="8">
        <v>0</v>
      </c>
      <c r="P27" s="8">
        <v>0</v>
      </c>
      <c r="Q27" s="8">
        <v>0</v>
      </c>
      <c r="R27" s="8">
        <v>0</v>
      </c>
      <c r="S27" s="2">
        <f>SUM(G27:R27)</f>
        <v>0</v>
      </c>
    </row>
    <row r="28" spans="1:19">
      <c r="A28" s="6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</row>
    <row r="29" spans="1:19">
      <c r="A29" s="3" t="s">
        <v>43</v>
      </c>
      <c r="G29" s="8">
        <f>G21+G24+G27</f>
        <v>52382.619999999995</v>
      </c>
      <c r="H29" s="8">
        <f t="shared" ref="H29:R29" si="2">H21+H24+H27</f>
        <v>17552.380000000005</v>
      </c>
      <c r="I29" s="8">
        <f t="shared" si="2"/>
        <v>41278.650000000016</v>
      </c>
      <c r="J29" s="8">
        <f t="shared" si="2"/>
        <v>-12317.649999999994</v>
      </c>
      <c r="K29" s="8">
        <f t="shared" si="2"/>
        <v>-27411</v>
      </c>
      <c r="L29" s="8">
        <f t="shared" si="2"/>
        <v>-53348.999999999993</v>
      </c>
      <c r="M29" s="8">
        <f t="shared" si="2"/>
        <v>-19868</v>
      </c>
      <c r="N29" s="8">
        <f t="shared" si="2"/>
        <v>31481</v>
      </c>
      <c r="O29" s="8">
        <f t="shared" si="2"/>
        <v>-90781</v>
      </c>
      <c r="P29" s="8">
        <f t="shared" si="2"/>
        <v>-97946</v>
      </c>
      <c r="Q29" s="8">
        <f t="shared" si="2"/>
        <v>77486</v>
      </c>
      <c r="R29" s="8">
        <f t="shared" si="2"/>
        <v>32398.999999999971</v>
      </c>
      <c r="S29" s="2">
        <f>SUM(G29:R29)</f>
        <v>-49093</v>
      </c>
    </row>
    <row r="30" spans="1:19">
      <c r="A30" s="3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</row>
    <row r="31" spans="1:19">
      <c r="A31" s="3" t="s">
        <v>47</v>
      </c>
      <c r="G31" s="8">
        <f>BS!J21</f>
        <v>630593</v>
      </c>
      <c r="H31" s="8">
        <f>BS!K21</f>
        <v>682975.62</v>
      </c>
      <c r="I31" s="8">
        <f>BS!L21</f>
        <v>700528</v>
      </c>
      <c r="J31" s="8">
        <f>BS!M21</f>
        <v>741806.65</v>
      </c>
      <c r="K31" s="8">
        <f>BS!N21</f>
        <v>729489</v>
      </c>
      <c r="L31" s="8">
        <f>BS!O21</f>
        <v>702078</v>
      </c>
      <c r="M31" s="8">
        <f>BS!P21</f>
        <v>648729</v>
      </c>
      <c r="N31" s="8">
        <f>BS!Q21</f>
        <v>628861</v>
      </c>
      <c r="O31" s="8">
        <f>BS!R21</f>
        <v>660342</v>
      </c>
      <c r="P31" s="8">
        <f>BS!S21</f>
        <v>569561</v>
      </c>
      <c r="Q31" s="8">
        <f>BS!T21</f>
        <v>471615</v>
      </c>
      <c r="R31" s="8">
        <f>BS!U21</f>
        <v>549101</v>
      </c>
    </row>
    <row r="32" spans="1:19">
      <c r="A32" s="3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</row>
    <row r="33" spans="1:18">
      <c r="A33" s="3" t="s">
        <v>48</v>
      </c>
      <c r="G33" s="8">
        <f>G29+G31</f>
        <v>682975.62</v>
      </c>
      <c r="H33" s="8">
        <f t="shared" ref="H33:R33" si="3">H29+H31</f>
        <v>700528</v>
      </c>
      <c r="I33" s="8">
        <f t="shared" si="3"/>
        <v>741806.65</v>
      </c>
      <c r="J33" s="8">
        <f t="shared" si="3"/>
        <v>729489</v>
      </c>
      <c r="K33" s="8">
        <f t="shared" si="3"/>
        <v>702078</v>
      </c>
      <c r="L33" s="8">
        <f t="shared" si="3"/>
        <v>648729</v>
      </c>
      <c r="M33" s="8">
        <f t="shared" si="3"/>
        <v>628861</v>
      </c>
      <c r="N33" s="8">
        <f t="shared" si="3"/>
        <v>660342</v>
      </c>
      <c r="O33" s="8">
        <f t="shared" si="3"/>
        <v>569561</v>
      </c>
      <c r="P33" s="8">
        <f t="shared" si="3"/>
        <v>471615</v>
      </c>
      <c r="Q33" s="8">
        <f t="shared" si="3"/>
        <v>549101</v>
      </c>
      <c r="R33" s="8">
        <f t="shared" si="3"/>
        <v>581500</v>
      </c>
    </row>
    <row r="34" spans="1:18"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</row>
    <row r="35" spans="1:18">
      <c r="A35" s="4" t="s">
        <v>49</v>
      </c>
      <c r="G35" s="8">
        <f>G33-BS!K21</f>
        <v>0</v>
      </c>
      <c r="H35" s="8">
        <f>H33-BS!L21</f>
        <v>0</v>
      </c>
      <c r="I35" s="8">
        <f>I33-BS!M21</f>
        <v>0</v>
      </c>
      <c r="J35" s="8">
        <f>J33-BS!N21</f>
        <v>0</v>
      </c>
      <c r="K35" s="8">
        <f>K33-BS!O21</f>
        <v>0</v>
      </c>
      <c r="L35" s="8">
        <f>L33-BS!P21</f>
        <v>0</v>
      </c>
      <c r="M35" s="8">
        <f>M33-BS!Q21</f>
        <v>0</v>
      </c>
      <c r="N35" s="8">
        <f>N33-BS!R21</f>
        <v>0</v>
      </c>
      <c r="O35" s="8">
        <f>O33-BS!S21</f>
        <v>0</v>
      </c>
      <c r="P35" s="8">
        <f>P33-BS!T21</f>
        <v>0</v>
      </c>
      <c r="Q35" s="8">
        <f>Q33-BS!U21</f>
        <v>0</v>
      </c>
      <c r="R35" s="8">
        <f>R33-BS!V21</f>
        <v>0</v>
      </c>
    </row>
    <row r="36" spans="1:18"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</row>
    <row r="37" spans="1:18"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</row>
  </sheetData>
  <mergeCells count="2">
    <mergeCell ref="A3:G3"/>
    <mergeCell ref="A4:G4"/>
  </mergeCells>
  <pageMargins left="0.7" right="0.7" top="0.75" bottom="0.75" header="0.3" footer="0.3"/>
  <pageSetup scale="65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O27"/>
  <sheetViews>
    <sheetView workbookViewId="0">
      <selection activeCell="F9" sqref="F9"/>
    </sheetView>
  </sheetViews>
  <sheetFormatPr defaultRowHeight="13.2"/>
  <cols>
    <col min="1" max="1" width="36.5546875" customWidth="1"/>
    <col min="2" max="2" width="18.5546875" style="103" customWidth="1"/>
    <col min="3" max="14" width="15.6640625" style="103" customWidth="1"/>
  </cols>
  <sheetData>
    <row r="1" spans="1:15" s="119" customFormat="1" ht="14.4">
      <c r="B1" s="34" t="s">
        <v>151</v>
      </c>
      <c r="C1" s="104" t="s">
        <v>51</v>
      </c>
      <c r="D1" s="104" t="s">
        <v>52</v>
      </c>
      <c r="E1" s="104" t="s">
        <v>53</v>
      </c>
      <c r="F1" s="104" t="s">
        <v>54</v>
      </c>
      <c r="G1" s="104" t="s">
        <v>55</v>
      </c>
      <c r="H1" s="104" t="s">
        <v>56</v>
      </c>
      <c r="I1" s="104" t="s">
        <v>57</v>
      </c>
      <c r="J1" s="104" t="s">
        <v>58</v>
      </c>
      <c r="K1" s="104" t="s">
        <v>59</v>
      </c>
      <c r="L1" s="104" t="s">
        <v>60</v>
      </c>
      <c r="M1" s="104" t="s">
        <v>61</v>
      </c>
      <c r="N1" s="104" t="s">
        <v>50</v>
      </c>
    </row>
    <row r="2" spans="1:15" s="119" customFormat="1" ht="14.4">
      <c r="A2" s="253" t="s">
        <v>102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</row>
    <row r="3" spans="1:15">
      <c r="A3" s="4"/>
    </row>
    <row r="4" spans="1:15">
      <c r="A4" s="4" t="s">
        <v>141</v>
      </c>
      <c r="B4" s="103">
        <v>19481.759999999998</v>
      </c>
      <c r="E4" s="103">
        <v>21570.35</v>
      </c>
      <c r="F4" s="103">
        <v>0</v>
      </c>
      <c r="G4" s="103">
        <v>0</v>
      </c>
      <c r="H4" s="103">
        <v>20000</v>
      </c>
      <c r="I4" s="103">
        <v>0</v>
      </c>
      <c r="J4" s="103">
        <v>4000</v>
      </c>
      <c r="K4" s="103">
        <v>44000</v>
      </c>
      <c r="L4" s="103">
        <v>72000</v>
      </c>
      <c r="M4" s="103">
        <v>12000</v>
      </c>
      <c r="N4" s="103">
        <v>17000</v>
      </c>
    </row>
    <row r="5" spans="1:15">
      <c r="A5" s="4" t="s">
        <v>142</v>
      </c>
      <c r="B5" s="103">
        <v>7905.33</v>
      </c>
      <c r="C5" s="103">
        <v>115000</v>
      </c>
      <c r="D5" s="103">
        <v>429080</v>
      </c>
      <c r="E5" s="103">
        <v>14950</v>
      </c>
      <c r="F5" s="103">
        <v>9950</v>
      </c>
      <c r="G5" s="103">
        <v>9950</v>
      </c>
      <c r="H5" s="103">
        <v>10450</v>
      </c>
      <c r="I5" s="103">
        <v>10450</v>
      </c>
      <c r="J5" s="103">
        <v>45250</v>
      </c>
      <c r="K5" s="103">
        <v>9450</v>
      </c>
      <c r="L5" s="103">
        <v>18750</v>
      </c>
      <c r="M5" s="103">
        <v>8750</v>
      </c>
      <c r="N5" s="103">
        <v>205750</v>
      </c>
    </row>
    <row r="6" spans="1:15">
      <c r="A6" s="4" t="s">
        <v>70</v>
      </c>
      <c r="B6" s="105"/>
      <c r="C6" s="103">
        <v>0</v>
      </c>
      <c r="D6" s="103">
        <v>20000</v>
      </c>
      <c r="E6" s="103">
        <v>0</v>
      </c>
      <c r="F6" s="103">
        <v>0</v>
      </c>
      <c r="G6" s="103">
        <v>0</v>
      </c>
      <c r="H6" s="103">
        <v>0</v>
      </c>
      <c r="I6" s="103">
        <v>0</v>
      </c>
      <c r="J6" s="103">
        <v>0</v>
      </c>
      <c r="K6" s="103">
        <v>0</v>
      </c>
      <c r="L6" s="103">
        <v>0</v>
      </c>
      <c r="M6" s="103">
        <v>0</v>
      </c>
      <c r="N6" s="103">
        <v>0</v>
      </c>
      <c r="O6" s="103"/>
    </row>
    <row r="7" spans="1:15">
      <c r="A7" s="4" t="s">
        <v>143</v>
      </c>
      <c r="B7" s="105"/>
      <c r="C7" s="103">
        <v>12833</v>
      </c>
      <c r="D7" s="103">
        <v>12833</v>
      </c>
      <c r="E7" s="103">
        <v>12833</v>
      </c>
      <c r="F7" s="103">
        <v>12833</v>
      </c>
      <c r="G7" s="103">
        <v>12833</v>
      </c>
      <c r="H7" s="103">
        <v>14333</v>
      </c>
      <c r="I7" s="103">
        <v>14333</v>
      </c>
      <c r="J7" s="103">
        <v>14333</v>
      </c>
      <c r="K7" s="103">
        <v>14333</v>
      </c>
      <c r="L7" s="103">
        <v>14333</v>
      </c>
      <c r="M7" s="103">
        <v>14333</v>
      </c>
      <c r="N7" s="103">
        <v>14333</v>
      </c>
    </row>
    <row r="8" spans="1:15">
      <c r="A8" s="4" t="s">
        <v>134</v>
      </c>
      <c r="C8" s="103">
        <v>-27387.09</v>
      </c>
      <c r="D8" s="103">
        <v>-127833</v>
      </c>
      <c r="E8" s="103">
        <v>-461913</v>
      </c>
      <c r="F8" s="103">
        <v>-49353.35</v>
      </c>
      <c r="G8" s="103">
        <v>-22783</v>
      </c>
      <c r="H8" s="103">
        <v>-22783</v>
      </c>
      <c r="I8" s="103">
        <v>-44783</v>
      </c>
      <c r="J8" s="103">
        <v>-24783</v>
      </c>
      <c r="K8" s="103">
        <v>-63853</v>
      </c>
      <c r="L8" s="103">
        <v>-67513</v>
      </c>
      <c r="M8" s="103">
        <v>-105083</v>
      </c>
      <c r="N8" s="103">
        <v>-35083</v>
      </c>
    </row>
    <row r="9" spans="1:15" s="119" customFormat="1" ht="14.4">
      <c r="A9" s="119" t="s">
        <v>103</v>
      </c>
      <c r="B9" s="104">
        <f>SUM(B4:B8)</f>
        <v>27387.089999999997</v>
      </c>
      <c r="C9" s="104">
        <f>SUM(B9+C4+C5+C6+C7+C8)</f>
        <v>127833</v>
      </c>
      <c r="D9" s="104">
        <f t="shared" ref="D9:N9" si="0">SUM(C9+D4+D5+D6+D7+D8)</f>
        <v>461913</v>
      </c>
      <c r="E9" s="104">
        <f t="shared" si="0"/>
        <v>49353.349999999977</v>
      </c>
      <c r="F9" s="104">
        <f t="shared" si="0"/>
        <v>22782.999999999978</v>
      </c>
      <c r="G9" s="104">
        <f t="shared" si="0"/>
        <v>22782.999999999978</v>
      </c>
      <c r="H9" s="104">
        <f t="shared" si="0"/>
        <v>44782.999999999971</v>
      </c>
      <c r="I9" s="104">
        <f t="shared" si="0"/>
        <v>24782.999999999971</v>
      </c>
      <c r="J9" s="104">
        <f t="shared" si="0"/>
        <v>63582.999999999971</v>
      </c>
      <c r="K9" s="104">
        <f t="shared" si="0"/>
        <v>67512.999999999971</v>
      </c>
      <c r="L9" s="104">
        <f t="shared" si="0"/>
        <v>105082.99999999997</v>
      </c>
      <c r="M9" s="104">
        <f t="shared" si="0"/>
        <v>35082.999999999971</v>
      </c>
      <c r="N9" s="104">
        <f t="shared" si="0"/>
        <v>237083</v>
      </c>
    </row>
    <row r="11" spans="1:15" ht="14.4">
      <c r="A11" s="121" t="s">
        <v>104</v>
      </c>
      <c r="B11" s="105"/>
      <c r="C11" s="105"/>
      <c r="D11" s="105"/>
      <c r="E11" s="105"/>
      <c r="F11" s="105"/>
      <c r="G11" s="105"/>
      <c r="H11" s="105"/>
      <c r="I11" s="105"/>
      <c r="J11" s="105"/>
      <c r="K11" s="105"/>
      <c r="L11" s="105"/>
      <c r="M11" s="105"/>
      <c r="N11" s="105"/>
      <c r="O11" s="4"/>
    </row>
    <row r="12" spans="1:15">
      <c r="A12" s="4" t="s">
        <v>157</v>
      </c>
      <c r="B12" s="105">
        <v>0</v>
      </c>
      <c r="C12" s="105">
        <v>300</v>
      </c>
      <c r="D12" s="105">
        <v>6000</v>
      </c>
      <c r="E12" s="105">
        <v>3000</v>
      </c>
      <c r="F12" s="105">
        <v>9000</v>
      </c>
      <c r="G12" s="105">
        <v>0</v>
      </c>
      <c r="H12" s="105">
        <v>3000</v>
      </c>
      <c r="I12" s="105">
        <v>6000</v>
      </c>
      <c r="J12" s="105">
        <v>12000</v>
      </c>
      <c r="K12" s="105">
        <v>6000</v>
      </c>
      <c r="L12" s="105">
        <v>6000</v>
      </c>
      <c r="M12" s="105">
        <v>0</v>
      </c>
      <c r="N12" s="105">
        <v>6000</v>
      </c>
      <c r="O12" s="4"/>
    </row>
    <row r="13" spans="1:15">
      <c r="A13" s="4" t="s">
        <v>105</v>
      </c>
      <c r="B13" s="105"/>
      <c r="C13" s="105"/>
      <c r="D13" s="105">
        <v>-300</v>
      </c>
      <c r="E13" s="105">
        <v>-6000</v>
      </c>
      <c r="F13" s="105">
        <v>-3000</v>
      </c>
      <c r="G13" s="105">
        <v>-9000</v>
      </c>
      <c r="H13" s="105">
        <v>0</v>
      </c>
      <c r="I13" s="105">
        <v>-3000</v>
      </c>
      <c r="J13" s="105">
        <v>-6000</v>
      </c>
      <c r="K13" s="105">
        <v>-12000</v>
      </c>
      <c r="L13" s="105">
        <v>-6000</v>
      </c>
      <c r="M13" s="105">
        <v>-6000</v>
      </c>
      <c r="N13" s="105">
        <v>-6000</v>
      </c>
      <c r="O13" s="4"/>
    </row>
    <row r="14" spans="1:15" ht="14.4">
      <c r="A14" s="121" t="s">
        <v>63</v>
      </c>
      <c r="B14" s="122">
        <v>0</v>
      </c>
      <c r="C14" s="105">
        <f>SUM(B12+C12+C13)</f>
        <v>300</v>
      </c>
      <c r="D14" s="105">
        <f>SUM(C14+D12+D13)</f>
        <v>6000</v>
      </c>
      <c r="E14" s="105">
        <f t="shared" ref="E14:N14" si="1">SUM(D14+E12+E13)</f>
        <v>3000</v>
      </c>
      <c r="F14" s="105">
        <f t="shared" si="1"/>
        <v>9000</v>
      </c>
      <c r="G14" s="105">
        <f t="shared" si="1"/>
        <v>0</v>
      </c>
      <c r="H14" s="105">
        <f t="shared" si="1"/>
        <v>3000</v>
      </c>
      <c r="I14" s="105">
        <f t="shared" si="1"/>
        <v>6000</v>
      </c>
      <c r="J14" s="105">
        <f t="shared" si="1"/>
        <v>12000</v>
      </c>
      <c r="K14" s="105">
        <f t="shared" si="1"/>
        <v>6000</v>
      </c>
      <c r="L14" s="105">
        <f t="shared" si="1"/>
        <v>6000</v>
      </c>
      <c r="M14" s="105">
        <f t="shared" si="1"/>
        <v>0</v>
      </c>
      <c r="N14" s="105">
        <f t="shared" si="1"/>
        <v>0</v>
      </c>
      <c r="O14" s="4"/>
    </row>
    <row r="15" spans="1:15" ht="14.4">
      <c r="A15" s="121"/>
      <c r="B15" s="105"/>
      <c r="C15" s="105"/>
      <c r="D15" s="105"/>
      <c r="E15" s="105"/>
      <c r="F15" s="105"/>
      <c r="G15" s="105"/>
      <c r="H15" s="105"/>
      <c r="I15" s="105"/>
      <c r="J15" s="105"/>
      <c r="K15" s="105"/>
      <c r="L15" s="105"/>
      <c r="M15" s="105"/>
      <c r="N15" s="105"/>
      <c r="O15" s="4"/>
    </row>
    <row r="16" spans="1:15" ht="14.4">
      <c r="A16" s="121" t="s">
        <v>24</v>
      </c>
      <c r="B16" s="105"/>
      <c r="C16" s="105"/>
      <c r="D16" s="105"/>
      <c r="E16" s="105"/>
      <c r="F16" s="105"/>
      <c r="G16" s="105"/>
      <c r="H16" s="105"/>
      <c r="I16" s="105"/>
      <c r="J16" s="105"/>
      <c r="K16" s="105"/>
      <c r="L16" s="105"/>
      <c r="M16" s="105"/>
      <c r="N16" s="105"/>
    </row>
    <row r="17" spans="1:14">
      <c r="A17" s="4"/>
      <c r="B17" s="105">
        <v>41872</v>
      </c>
      <c r="C17" s="105"/>
      <c r="D17" s="105"/>
      <c r="E17" s="105"/>
      <c r="F17" s="105"/>
      <c r="G17" s="105"/>
      <c r="H17" s="105"/>
      <c r="I17" s="105"/>
      <c r="J17" s="105"/>
      <c r="K17" s="105"/>
      <c r="L17" s="105"/>
      <c r="M17" s="105"/>
      <c r="N17" s="105"/>
    </row>
    <row r="18" spans="1:14">
      <c r="A18" s="4" t="s">
        <v>154</v>
      </c>
      <c r="B18" s="105"/>
      <c r="C18" s="105">
        <v>300</v>
      </c>
      <c r="D18" s="105">
        <v>6000</v>
      </c>
      <c r="E18" s="105">
        <v>3000</v>
      </c>
      <c r="F18" s="105">
        <v>9000</v>
      </c>
      <c r="G18" s="105">
        <v>0</v>
      </c>
      <c r="H18" s="105">
        <v>3000</v>
      </c>
      <c r="I18" s="105">
        <v>6000</v>
      </c>
      <c r="J18" s="105">
        <v>12000</v>
      </c>
      <c r="K18" s="105">
        <v>6000</v>
      </c>
      <c r="L18" s="105">
        <v>6000</v>
      </c>
      <c r="M18" s="105">
        <v>0</v>
      </c>
      <c r="N18" s="105">
        <v>6000</v>
      </c>
    </row>
    <row r="19" spans="1:14">
      <c r="A19" s="4" t="s">
        <v>155</v>
      </c>
      <c r="B19" s="105"/>
      <c r="C19" s="105"/>
      <c r="D19" s="105">
        <v>-300</v>
      </c>
      <c r="E19" s="105">
        <v>-6000</v>
      </c>
      <c r="F19" s="105">
        <v>-3000</v>
      </c>
      <c r="G19" s="105">
        <v>-9000</v>
      </c>
      <c r="H19" s="105">
        <v>0</v>
      </c>
      <c r="I19" s="105">
        <v>-3000</v>
      </c>
      <c r="J19" s="105">
        <v>-6000</v>
      </c>
      <c r="K19" s="105">
        <v>-12000</v>
      </c>
      <c r="L19" s="105">
        <v>-6000</v>
      </c>
      <c r="M19" s="105">
        <v>-6000</v>
      </c>
      <c r="N19" s="105">
        <v>-6000</v>
      </c>
    </row>
    <row r="20" spans="1:14">
      <c r="A20" s="4" t="s">
        <v>62</v>
      </c>
      <c r="B20" s="105"/>
      <c r="C20" s="105">
        <f>SUM(B17+C18+C19)</f>
        <v>42172</v>
      </c>
      <c r="D20" s="105">
        <f>SUM(C20+D18+D19)</f>
        <v>47872</v>
      </c>
      <c r="E20" s="105">
        <f t="shared" ref="E20:N20" si="2">SUM(D20+E18+E19)</f>
        <v>44872</v>
      </c>
      <c r="F20" s="105">
        <f t="shared" si="2"/>
        <v>50872</v>
      </c>
      <c r="G20" s="105">
        <f t="shared" si="2"/>
        <v>41872</v>
      </c>
      <c r="H20" s="105">
        <f t="shared" si="2"/>
        <v>44872</v>
      </c>
      <c r="I20" s="105">
        <f t="shared" si="2"/>
        <v>47872</v>
      </c>
      <c r="J20" s="105">
        <f t="shared" si="2"/>
        <v>53872</v>
      </c>
      <c r="K20" s="105">
        <f t="shared" si="2"/>
        <v>47872</v>
      </c>
      <c r="L20" s="105">
        <f t="shared" si="2"/>
        <v>47872</v>
      </c>
      <c r="M20" s="105">
        <f t="shared" si="2"/>
        <v>41872</v>
      </c>
      <c r="N20" s="105">
        <f t="shared" si="2"/>
        <v>41872</v>
      </c>
    </row>
    <row r="21" spans="1:14">
      <c r="A21" s="4"/>
      <c r="B21" s="105"/>
      <c r="C21" s="105"/>
      <c r="D21" s="105"/>
      <c r="E21" s="105"/>
      <c r="F21" s="105"/>
      <c r="G21" s="105"/>
      <c r="H21" s="105"/>
      <c r="I21" s="105"/>
      <c r="J21" s="105"/>
      <c r="K21" s="105"/>
      <c r="L21" s="105"/>
      <c r="M21" s="105"/>
      <c r="N21" s="105"/>
    </row>
    <row r="22" spans="1:14" ht="14.4">
      <c r="A22" s="121" t="s">
        <v>106</v>
      </c>
      <c r="B22" s="105"/>
      <c r="C22" s="105"/>
      <c r="D22" s="105"/>
      <c r="E22" s="105"/>
      <c r="F22" s="105"/>
      <c r="G22" s="105"/>
      <c r="H22" s="105"/>
      <c r="I22" s="105"/>
      <c r="J22" s="105"/>
      <c r="K22" s="105"/>
      <c r="L22" s="105"/>
      <c r="M22" s="105"/>
      <c r="N22" s="105"/>
    </row>
    <row r="23" spans="1:14">
      <c r="A23" s="4" t="s">
        <v>107</v>
      </c>
      <c r="B23" s="105">
        <v>28482</v>
      </c>
      <c r="C23" s="105">
        <v>28482</v>
      </c>
      <c r="D23" s="105">
        <f>C26</f>
        <v>182021</v>
      </c>
      <c r="E23" s="105">
        <f>D26</f>
        <v>476176</v>
      </c>
      <c r="F23" s="105">
        <f t="shared" ref="F23:N23" si="3">E26</f>
        <v>114288</v>
      </c>
      <c r="G23" s="105">
        <f t="shared" si="3"/>
        <v>68236</v>
      </c>
      <c r="H23" s="105">
        <f t="shared" si="3"/>
        <v>83499</v>
      </c>
      <c r="I23" s="105">
        <f t="shared" si="3"/>
        <v>78718</v>
      </c>
      <c r="J23" s="105">
        <f t="shared" si="3"/>
        <v>100289</v>
      </c>
      <c r="K23" s="105">
        <f t="shared" si="3"/>
        <v>176626</v>
      </c>
      <c r="L23" s="105">
        <f t="shared" si="3"/>
        <v>161276</v>
      </c>
      <c r="M23" s="105">
        <f t="shared" si="3"/>
        <v>76914</v>
      </c>
      <c r="N23" s="105">
        <f t="shared" si="3"/>
        <v>62051</v>
      </c>
    </row>
    <row r="24" spans="1:14">
      <c r="A24" s="4" t="s">
        <v>108</v>
      </c>
      <c r="B24" s="105"/>
      <c r="C24" s="105">
        <f>SUM('Income Statement'!B74)-17690</f>
        <v>168539</v>
      </c>
      <c r="D24" s="105">
        <f>SUM('Income Statement'!C74)-15000</f>
        <v>465384</v>
      </c>
      <c r="E24" s="105">
        <f>SUM('Income Statement'!D74)-15000</f>
        <v>103496</v>
      </c>
      <c r="F24" s="105">
        <f>SUM('Income Statement'!E74)-15000</f>
        <v>57444</v>
      </c>
      <c r="G24" s="105">
        <f>SUM('Income Statement'!F74)-15000</f>
        <v>72707</v>
      </c>
      <c r="H24" s="105">
        <f>SUM('Income Statement'!G74)-15000</f>
        <v>67926</v>
      </c>
      <c r="I24" s="105">
        <f>SUM('Income Statement'!H74)-15000</f>
        <v>89497</v>
      </c>
      <c r="J24" s="105">
        <f>SUM('Income Statement'!I74)-15000</f>
        <v>165834</v>
      </c>
      <c r="K24" s="105">
        <f>SUM('Income Statement'!J74)-15000</f>
        <v>150484</v>
      </c>
      <c r="L24" s="105">
        <f>SUM('Income Statement'!K74)-15000</f>
        <v>66122</v>
      </c>
      <c r="M24" s="105">
        <f>SUM('Income Statement'!L74)-15000</f>
        <v>51259</v>
      </c>
      <c r="N24" s="105">
        <f>SUM('Income Statement'!M74)-15000</f>
        <v>248336</v>
      </c>
    </row>
    <row r="25" spans="1:14">
      <c r="A25" s="4" t="s">
        <v>109</v>
      </c>
      <c r="B25" s="105"/>
      <c r="C25" s="105">
        <v>-15000</v>
      </c>
      <c r="D25" s="105">
        <f>-(SUM('Income Statement'!B74)-15000)</f>
        <v>-171229</v>
      </c>
      <c r="E25" s="105">
        <f>-(SUM('Income Statement'!C74)-15000)</f>
        <v>-465384</v>
      </c>
      <c r="F25" s="105">
        <f>-(SUM('Income Statement'!D74)-15000)</f>
        <v>-103496</v>
      </c>
      <c r="G25" s="105">
        <f>-(SUM('Income Statement'!E74)-15000)</f>
        <v>-57444</v>
      </c>
      <c r="H25" s="105">
        <f>-(SUM('Income Statement'!F74)-15000)</f>
        <v>-72707</v>
      </c>
      <c r="I25" s="105">
        <f>-(SUM('Income Statement'!G74)-15000)</f>
        <v>-67926</v>
      </c>
      <c r="J25" s="105">
        <f>-(SUM('Income Statement'!H74)-15000)</f>
        <v>-89497</v>
      </c>
      <c r="K25" s="105">
        <f>-(SUM('Income Statement'!I74)-15000)</f>
        <v>-165834</v>
      </c>
      <c r="L25" s="105">
        <f>-(SUM('Income Statement'!J74)-15000)</f>
        <v>-150484</v>
      </c>
      <c r="M25" s="105">
        <f>-(SUM('Income Statement'!K74)-15000)</f>
        <v>-66122</v>
      </c>
      <c r="N25" s="105">
        <f>-(SUM('Income Statement'!L74)-15000)</f>
        <v>-51259</v>
      </c>
    </row>
    <row r="26" spans="1:14" s="119" customFormat="1" ht="14.4">
      <c r="A26" s="121" t="s">
        <v>110</v>
      </c>
      <c r="B26" s="123">
        <v>28482</v>
      </c>
      <c r="C26" s="123">
        <f>SUM(C23:C25)</f>
        <v>182021</v>
      </c>
      <c r="D26" s="123">
        <f t="shared" ref="D26:N26" si="4">SUM(D23:D25)</f>
        <v>476176</v>
      </c>
      <c r="E26" s="123">
        <f t="shared" si="4"/>
        <v>114288</v>
      </c>
      <c r="F26" s="123">
        <f t="shared" si="4"/>
        <v>68236</v>
      </c>
      <c r="G26" s="123">
        <f t="shared" si="4"/>
        <v>83499</v>
      </c>
      <c r="H26" s="123">
        <f t="shared" si="4"/>
        <v>78718</v>
      </c>
      <c r="I26" s="123">
        <f t="shared" si="4"/>
        <v>100289</v>
      </c>
      <c r="J26" s="123">
        <f t="shared" si="4"/>
        <v>176626</v>
      </c>
      <c r="K26" s="123">
        <f t="shared" si="4"/>
        <v>161276</v>
      </c>
      <c r="L26" s="123">
        <f t="shared" si="4"/>
        <v>76914</v>
      </c>
      <c r="M26" s="123">
        <f t="shared" si="4"/>
        <v>62051</v>
      </c>
      <c r="N26" s="123">
        <f t="shared" si="4"/>
        <v>259128</v>
      </c>
    </row>
    <row r="27" spans="1:14">
      <c r="A27" s="124"/>
      <c r="B27" s="125"/>
      <c r="C27" s="125"/>
      <c r="D27" s="125"/>
      <c r="E27" s="125"/>
      <c r="F27" s="125"/>
      <c r="G27" s="125"/>
      <c r="H27" s="125"/>
      <c r="I27" s="125"/>
      <c r="J27" s="125"/>
      <c r="K27" s="125"/>
      <c r="L27" s="125"/>
      <c r="M27" s="125"/>
      <c r="N27" s="125"/>
    </row>
  </sheetData>
  <pageMargins left="0.7" right="0.7" top="0.75" bottom="0.75" header="0.3" footer="0.3"/>
  <pageSetup scale="47" orientation="landscape" horizontalDpi="300" verticalDpi="300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1BCA7A-1E5C-45E3-9B99-4864FBA314E9}">
  <dimension ref="A1:T19"/>
  <sheetViews>
    <sheetView zoomScale="52" zoomScaleNormal="80" workbookViewId="0">
      <selection activeCell="M24" sqref="M24"/>
    </sheetView>
  </sheetViews>
  <sheetFormatPr defaultColWidth="12.44140625" defaultRowHeight="25.8"/>
  <cols>
    <col min="1" max="1" width="5.77734375" style="245" customWidth="1"/>
    <col min="2" max="2" width="8.5546875" style="248" customWidth="1"/>
    <col min="3" max="3" width="46.33203125" style="249" customWidth="1"/>
    <col min="4" max="16" width="23.5546875" style="249" customWidth="1"/>
    <col min="17" max="17" width="26.33203125" style="250" customWidth="1"/>
    <col min="18" max="18" width="107.44140625" style="245" customWidth="1"/>
    <col min="19" max="16384" width="12.44140625" style="245"/>
  </cols>
  <sheetData>
    <row r="1" spans="1:20" s="223" customFormat="1" ht="33.6">
      <c r="A1" s="218" t="s">
        <v>238</v>
      </c>
      <c r="B1" s="219"/>
      <c r="C1" s="220"/>
      <c r="D1" s="220" t="s">
        <v>163</v>
      </c>
      <c r="E1" s="220" t="s">
        <v>120</v>
      </c>
      <c r="F1" s="220" t="s">
        <v>164</v>
      </c>
      <c r="G1" s="220" t="s">
        <v>165</v>
      </c>
      <c r="H1" s="220" t="s">
        <v>55</v>
      </c>
      <c r="I1" s="220" t="s">
        <v>166</v>
      </c>
      <c r="J1" s="220" t="s">
        <v>167</v>
      </c>
      <c r="K1" s="220" t="s">
        <v>168</v>
      </c>
      <c r="L1" s="220" t="s">
        <v>169</v>
      </c>
      <c r="M1" s="220" t="s">
        <v>126</v>
      </c>
      <c r="N1" s="220" t="s">
        <v>122</v>
      </c>
      <c r="O1" s="220" t="s">
        <v>123</v>
      </c>
      <c r="P1" s="220" t="s">
        <v>62</v>
      </c>
      <c r="Q1" s="221"/>
      <c r="R1" s="222"/>
    </row>
    <row r="2" spans="1:20" s="224" customFormat="1" ht="31.2">
      <c r="B2" s="225" t="s">
        <v>174</v>
      </c>
      <c r="C2" s="226"/>
      <c r="D2" s="227">
        <f t="shared" ref="D2:P2" si="0">SUM(D3:D7)</f>
        <v>2000</v>
      </c>
      <c r="E2" s="227">
        <f t="shared" si="0"/>
        <v>36000</v>
      </c>
      <c r="F2" s="227">
        <f t="shared" si="0"/>
        <v>50675</v>
      </c>
      <c r="G2" s="227">
        <f t="shared" si="0"/>
        <v>24000</v>
      </c>
      <c r="H2" s="227">
        <f t="shared" si="0"/>
        <v>13500</v>
      </c>
      <c r="I2" s="227">
        <f t="shared" si="0"/>
        <v>6500</v>
      </c>
      <c r="J2" s="227">
        <f t="shared" si="0"/>
        <v>13000</v>
      </c>
      <c r="K2" s="227">
        <f t="shared" si="0"/>
        <v>50820</v>
      </c>
      <c r="L2" s="227">
        <f t="shared" si="0"/>
        <v>33000</v>
      </c>
      <c r="M2" s="227">
        <f t="shared" si="0"/>
        <v>0</v>
      </c>
      <c r="N2" s="227">
        <f t="shared" si="0"/>
        <v>0</v>
      </c>
      <c r="O2" s="227">
        <f t="shared" si="0"/>
        <v>0</v>
      </c>
      <c r="P2" s="228">
        <f t="shared" si="0"/>
        <v>229495</v>
      </c>
      <c r="Q2" s="229"/>
      <c r="R2" s="230"/>
    </row>
    <row r="3" spans="1:20" s="231" customFormat="1" ht="23.4">
      <c r="B3" s="232"/>
      <c r="C3" s="233" t="s">
        <v>239</v>
      </c>
      <c r="D3" s="234">
        <v>1000</v>
      </c>
      <c r="E3" s="234">
        <v>25000</v>
      </c>
      <c r="F3" s="234">
        <v>20000</v>
      </c>
      <c r="G3" s="234">
        <v>3000</v>
      </c>
      <c r="H3" s="234">
        <v>3000</v>
      </c>
      <c r="I3" s="234">
        <v>3000</v>
      </c>
      <c r="J3" s="234">
        <v>2500</v>
      </c>
      <c r="K3" s="234">
        <v>2000</v>
      </c>
      <c r="L3" s="234">
        <v>1000</v>
      </c>
      <c r="M3" s="234"/>
      <c r="N3" s="234"/>
      <c r="O3" s="234"/>
      <c r="P3" s="235">
        <f>SUM(D3:O3)</f>
        <v>60500</v>
      </c>
      <c r="Q3" s="236"/>
      <c r="R3" s="222" t="s">
        <v>240</v>
      </c>
    </row>
    <row r="4" spans="1:20" s="231" customFormat="1" ht="23.4">
      <c r="B4" s="232"/>
      <c r="C4" s="233" t="s">
        <v>241</v>
      </c>
      <c r="D4" s="234">
        <v>1000</v>
      </c>
      <c r="E4" s="234">
        <v>11000</v>
      </c>
      <c r="F4" s="234">
        <v>30000</v>
      </c>
      <c r="G4" s="234">
        <v>20000</v>
      </c>
      <c r="H4" s="234">
        <v>9000</v>
      </c>
      <c r="I4" s="234">
        <v>2000</v>
      </c>
      <c r="J4" s="234">
        <v>1000</v>
      </c>
      <c r="K4" s="234"/>
      <c r="L4" s="234"/>
      <c r="M4" s="234"/>
      <c r="N4" s="234"/>
      <c r="O4" s="234"/>
      <c r="P4" s="234">
        <f t="shared" ref="P4:P7" si="1">SUM(D4:O4)</f>
        <v>74000</v>
      </c>
      <c r="Q4" s="236"/>
      <c r="R4" s="222" t="s">
        <v>242</v>
      </c>
    </row>
    <row r="5" spans="1:20" s="231" customFormat="1" ht="23.4">
      <c r="B5" s="232"/>
      <c r="C5" s="233" t="s">
        <v>243</v>
      </c>
      <c r="D5" s="234"/>
      <c r="E5" s="234"/>
      <c r="F5" s="234"/>
      <c r="G5" s="234">
        <v>1000</v>
      </c>
      <c r="H5" s="234">
        <v>1500</v>
      </c>
      <c r="I5" s="234">
        <v>1500</v>
      </c>
      <c r="J5" s="234">
        <v>2500</v>
      </c>
      <c r="K5" s="234">
        <v>45000</v>
      </c>
      <c r="L5" s="234"/>
      <c r="M5" s="234"/>
      <c r="N5" s="234"/>
      <c r="O5" s="234"/>
      <c r="P5" s="234">
        <f t="shared" si="1"/>
        <v>51500</v>
      </c>
      <c r="Q5" s="236"/>
      <c r="R5" s="222"/>
    </row>
    <row r="6" spans="1:20" s="231" customFormat="1" ht="23.4">
      <c r="B6" s="232"/>
      <c r="C6" s="233" t="s">
        <v>244</v>
      </c>
      <c r="D6" s="234"/>
      <c r="E6" s="234"/>
      <c r="F6" s="234">
        <f>3*225</f>
        <v>675</v>
      </c>
      <c r="G6" s="234"/>
      <c r="H6" s="234"/>
      <c r="I6" s="234" t="s">
        <v>262</v>
      </c>
      <c r="J6" s="234"/>
      <c r="K6" s="234">
        <v>3820</v>
      </c>
      <c r="L6" s="234"/>
      <c r="M6" s="234"/>
      <c r="N6" s="234"/>
      <c r="O6" s="234"/>
      <c r="P6" s="234">
        <f t="shared" si="1"/>
        <v>4495</v>
      </c>
      <c r="Q6" s="236"/>
      <c r="R6" s="222" t="s">
        <v>245</v>
      </c>
    </row>
    <row r="7" spans="1:20" s="231" customFormat="1" ht="23.4">
      <c r="B7" s="232"/>
      <c r="C7" s="233" t="s">
        <v>246</v>
      </c>
      <c r="D7" s="234"/>
      <c r="E7" s="234"/>
      <c r="G7" s="234"/>
      <c r="H7" s="234"/>
      <c r="I7" s="234"/>
      <c r="J7" s="234">
        <v>7000</v>
      </c>
      <c r="K7" s="234"/>
      <c r="L7" s="234">
        <v>32000</v>
      </c>
      <c r="M7" s="234"/>
      <c r="N7" s="234"/>
      <c r="O7" s="234"/>
      <c r="P7" s="234">
        <f t="shared" si="1"/>
        <v>39000</v>
      </c>
      <c r="Q7" s="236"/>
      <c r="R7" s="222"/>
    </row>
    <row r="8" spans="1:20" s="224" customFormat="1" ht="31.2">
      <c r="B8" s="225" t="s">
        <v>206</v>
      </c>
      <c r="C8" s="226"/>
      <c r="D8" s="237">
        <f>SUM(D9:D15)</f>
        <v>2400</v>
      </c>
      <c r="E8" s="237">
        <f t="shared" ref="E8:O8" si="2">SUM(E9:E15)</f>
        <v>9700</v>
      </c>
      <c r="F8" s="237">
        <f t="shared" si="2"/>
        <v>6200</v>
      </c>
      <c r="G8" s="237">
        <f t="shared" si="2"/>
        <v>5800</v>
      </c>
      <c r="H8" s="237">
        <f t="shared" si="2"/>
        <v>5300</v>
      </c>
      <c r="I8" s="237">
        <f t="shared" si="2"/>
        <v>20100</v>
      </c>
      <c r="J8" s="237">
        <f t="shared" si="2"/>
        <v>13200</v>
      </c>
      <c r="K8" s="237">
        <f t="shared" si="2"/>
        <v>51100</v>
      </c>
      <c r="L8" s="237">
        <f t="shared" si="2"/>
        <v>9500</v>
      </c>
      <c r="M8" s="237">
        <f t="shared" si="2"/>
        <v>200</v>
      </c>
      <c r="N8" s="237">
        <f t="shared" si="2"/>
        <v>200</v>
      </c>
      <c r="O8" s="237">
        <f t="shared" si="2"/>
        <v>200</v>
      </c>
      <c r="P8" s="228">
        <f>SUM(P9:P15)</f>
        <v>123900</v>
      </c>
      <c r="Q8" s="229"/>
      <c r="R8" s="230"/>
    </row>
    <row r="9" spans="1:20" s="231" customFormat="1" ht="23.4">
      <c r="A9" s="238"/>
      <c r="B9" s="232"/>
      <c r="C9" s="233" t="s">
        <v>247</v>
      </c>
      <c r="D9" s="234">
        <v>200</v>
      </c>
      <c r="E9" s="234">
        <v>200</v>
      </c>
      <c r="F9" s="234">
        <v>200</v>
      </c>
      <c r="G9" s="234">
        <v>200</v>
      </c>
      <c r="H9" s="234">
        <v>200</v>
      </c>
      <c r="I9" s="234">
        <v>200</v>
      </c>
      <c r="J9" s="234">
        <v>200</v>
      </c>
      <c r="K9" s="234">
        <v>200</v>
      </c>
      <c r="L9" s="234">
        <v>200</v>
      </c>
      <c r="M9" s="234">
        <v>200</v>
      </c>
      <c r="N9" s="234">
        <v>200</v>
      </c>
      <c r="O9" s="234">
        <v>200</v>
      </c>
      <c r="P9" s="234">
        <f>SUM(D9:O9)</f>
        <v>2400</v>
      </c>
      <c r="Q9" s="236"/>
      <c r="R9" s="222" t="s">
        <v>248</v>
      </c>
    </row>
    <row r="10" spans="1:20" s="231" customFormat="1" ht="23.4">
      <c r="A10" s="238"/>
      <c r="B10" s="232"/>
      <c r="C10" s="233" t="s">
        <v>249</v>
      </c>
      <c r="D10" s="234"/>
      <c r="E10" s="234">
        <v>2500</v>
      </c>
      <c r="F10" s="234"/>
      <c r="G10" s="234">
        <v>3000</v>
      </c>
      <c r="H10" s="234"/>
      <c r="I10" s="234">
        <v>6000</v>
      </c>
      <c r="J10" s="234">
        <v>4500</v>
      </c>
      <c r="K10" s="234">
        <v>9500</v>
      </c>
      <c r="L10" s="234">
        <v>5000</v>
      </c>
      <c r="M10" s="234"/>
      <c r="N10" s="234"/>
      <c r="O10" s="234"/>
      <c r="P10" s="234">
        <f t="shared" ref="P10:P15" si="3">SUM(D10:O10)</f>
        <v>30500</v>
      </c>
      <c r="Q10" s="236"/>
      <c r="R10" s="222" t="s">
        <v>250</v>
      </c>
    </row>
    <row r="11" spans="1:20" s="231" customFormat="1" ht="23.4">
      <c r="A11" s="238"/>
      <c r="B11" s="232"/>
      <c r="C11" s="233" t="s">
        <v>251</v>
      </c>
      <c r="D11" s="234">
        <v>2000</v>
      </c>
      <c r="E11" s="234">
        <v>2000</v>
      </c>
      <c r="F11" s="234">
        <v>2000</v>
      </c>
      <c r="G11" s="234">
        <v>2000</v>
      </c>
      <c r="H11" s="234">
        <v>2000</v>
      </c>
      <c r="I11" s="234">
        <v>10800</v>
      </c>
      <c r="J11" s="234">
        <v>2000</v>
      </c>
      <c r="K11" s="234">
        <v>35000</v>
      </c>
      <c r="L11" s="234">
        <v>4300</v>
      </c>
      <c r="M11" s="234"/>
      <c r="N11" s="234"/>
      <c r="O11" s="234"/>
      <c r="P11" s="235">
        <f t="shared" si="3"/>
        <v>62100</v>
      </c>
      <c r="Q11" s="236"/>
      <c r="R11" s="222" t="s">
        <v>252</v>
      </c>
    </row>
    <row r="12" spans="1:20" s="231" customFormat="1" ht="23.4">
      <c r="B12" s="232"/>
      <c r="C12" s="233" t="s">
        <v>253</v>
      </c>
      <c r="D12" s="234"/>
      <c r="E12" s="234"/>
      <c r="F12" s="234"/>
      <c r="G12" s="234"/>
      <c r="H12" s="234"/>
      <c r="I12" s="234"/>
      <c r="J12" s="234">
        <v>2000</v>
      </c>
      <c r="K12" s="234">
        <v>4000</v>
      </c>
      <c r="L12" s="234"/>
      <c r="M12" s="234"/>
      <c r="N12" s="234"/>
      <c r="O12" s="234"/>
      <c r="P12" s="234">
        <f t="shared" si="3"/>
        <v>6000</v>
      </c>
      <c r="Q12" s="236"/>
      <c r="R12" s="222" t="s">
        <v>254</v>
      </c>
    </row>
    <row r="13" spans="1:20" s="231" customFormat="1" ht="23.4">
      <c r="B13" s="232"/>
      <c r="C13" s="233" t="s">
        <v>255</v>
      </c>
      <c r="D13" s="234"/>
      <c r="E13" s="234"/>
      <c r="F13" s="234"/>
      <c r="G13" s="234"/>
      <c r="H13" s="234"/>
      <c r="I13" s="234"/>
      <c r="J13" s="234">
        <v>4000</v>
      </c>
      <c r="K13" s="234">
        <v>2000</v>
      </c>
      <c r="L13" s="234"/>
      <c r="M13" s="234"/>
      <c r="N13" s="234"/>
      <c r="O13" s="234"/>
      <c r="P13" s="234">
        <f t="shared" si="3"/>
        <v>6000</v>
      </c>
      <c r="Q13" s="236"/>
      <c r="R13" s="222" t="s">
        <v>256</v>
      </c>
    </row>
    <row r="14" spans="1:20" s="231" customFormat="1" ht="23.4">
      <c r="B14" s="232"/>
      <c r="C14" s="233" t="s">
        <v>257</v>
      </c>
      <c r="D14" s="234">
        <v>200</v>
      </c>
      <c r="E14" s="234">
        <v>5000</v>
      </c>
      <c r="F14" s="234">
        <v>4000</v>
      </c>
      <c r="G14" s="234">
        <v>600</v>
      </c>
      <c r="H14" s="234">
        <v>600</v>
      </c>
      <c r="I14" s="234">
        <v>600</v>
      </c>
      <c r="J14" s="234">
        <v>500</v>
      </c>
      <c r="K14" s="234">
        <v>400</v>
      </c>
      <c r="L14" s="234"/>
      <c r="M14" s="234"/>
      <c r="N14" s="234"/>
      <c r="O14" s="234"/>
      <c r="P14" s="234">
        <f t="shared" si="3"/>
        <v>11900</v>
      </c>
      <c r="Q14" s="236"/>
      <c r="R14" s="222" t="s">
        <v>258</v>
      </c>
      <c r="T14" s="239"/>
    </row>
    <row r="15" spans="1:20" s="231" customFormat="1" ht="23.4">
      <c r="B15" s="232"/>
      <c r="C15" s="233" t="s">
        <v>259</v>
      </c>
      <c r="D15" s="234"/>
      <c r="E15" s="234"/>
      <c r="F15" s="234"/>
      <c r="G15" s="234"/>
      <c r="H15" s="234">
        <v>2500</v>
      </c>
      <c r="I15" s="234">
        <v>2500</v>
      </c>
      <c r="J15" s="234"/>
      <c r="K15" s="234"/>
      <c r="L15" s="234"/>
      <c r="M15" s="234"/>
      <c r="N15" s="234"/>
      <c r="O15" s="234"/>
      <c r="P15" s="234">
        <f t="shared" si="3"/>
        <v>5000</v>
      </c>
      <c r="Q15" s="236"/>
      <c r="R15" s="222"/>
    </row>
    <row r="16" spans="1:20" s="224" customFormat="1" ht="31.2">
      <c r="B16" s="225" t="s">
        <v>260</v>
      </c>
      <c r="C16" s="226"/>
      <c r="D16" s="237">
        <f t="shared" ref="D16:Q16" si="4">D2-D8</f>
        <v>-400</v>
      </c>
      <c r="E16" s="237">
        <f t="shared" si="4"/>
        <v>26300</v>
      </c>
      <c r="F16" s="237">
        <f t="shared" si="4"/>
        <v>44475</v>
      </c>
      <c r="G16" s="237">
        <f t="shared" si="4"/>
        <v>18200</v>
      </c>
      <c r="H16" s="237">
        <f t="shared" si="4"/>
        <v>8200</v>
      </c>
      <c r="I16" s="237">
        <f t="shared" si="4"/>
        <v>-13600</v>
      </c>
      <c r="J16" s="237">
        <f t="shared" si="4"/>
        <v>-200</v>
      </c>
      <c r="K16" s="237">
        <f t="shared" si="4"/>
        <v>-280</v>
      </c>
      <c r="L16" s="237">
        <f t="shared" si="4"/>
        <v>23500</v>
      </c>
      <c r="M16" s="237">
        <f t="shared" si="4"/>
        <v>-200</v>
      </c>
      <c r="N16" s="237">
        <f t="shared" si="4"/>
        <v>-200</v>
      </c>
      <c r="O16" s="237">
        <f t="shared" si="4"/>
        <v>-200</v>
      </c>
      <c r="P16" s="228">
        <f t="shared" si="4"/>
        <v>105595</v>
      </c>
      <c r="Q16" s="229">
        <f t="shared" si="4"/>
        <v>0</v>
      </c>
      <c r="R16" s="230"/>
    </row>
    <row r="17" spans="2:18">
      <c r="B17" s="240"/>
      <c r="C17" s="241"/>
      <c r="D17" s="242"/>
      <c r="E17" s="242"/>
      <c r="F17" s="242"/>
      <c r="G17" s="242"/>
      <c r="H17" s="242"/>
      <c r="I17" s="242"/>
      <c r="J17" s="242"/>
      <c r="K17" s="242"/>
      <c r="L17" s="242"/>
      <c r="M17" s="242"/>
      <c r="N17" s="242"/>
      <c r="O17" s="242"/>
      <c r="P17" s="242"/>
      <c r="Q17" s="243"/>
      <c r="R17" s="244"/>
    </row>
    <row r="18" spans="2:18">
      <c r="B18" s="240"/>
      <c r="C18" s="241"/>
      <c r="D18" s="242"/>
      <c r="E18" s="242"/>
      <c r="F18" s="242"/>
      <c r="G18" s="242"/>
      <c r="H18" s="242"/>
      <c r="I18" s="242"/>
      <c r="J18" s="242"/>
      <c r="K18" s="242"/>
      <c r="L18" s="242"/>
      <c r="M18" s="242"/>
      <c r="N18" s="242"/>
      <c r="O18" s="242"/>
      <c r="P18" s="242"/>
      <c r="Q18" s="243"/>
      <c r="R18" s="244"/>
    </row>
    <row r="19" spans="2:18" s="223" customFormat="1" ht="31.2">
      <c r="B19" s="225" t="s">
        <v>261</v>
      </c>
      <c r="C19" s="246"/>
      <c r="D19" s="247">
        <v>98775.85</v>
      </c>
      <c r="E19" s="247"/>
      <c r="F19" s="247"/>
      <c r="G19" s="247"/>
      <c r="H19" s="247"/>
      <c r="I19" s="247"/>
      <c r="J19" s="247"/>
      <c r="K19" s="247"/>
      <c r="L19" s="247"/>
      <c r="M19" s="247"/>
      <c r="N19" s="247"/>
      <c r="O19" s="247"/>
      <c r="P19" s="228">
        <f>O19</f>
        <v>0</v>
      </c>
      <c r="Q19" s="229"/>
      <c r="R19" s="230"/>
    </row>
  </sheetData>
  <pageMargins left="0.7" right="0.7" top="0.75" bottom="0.75" header="0.3" footer="0.3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2E8E5A-0628-4A0D-A7A0-C1C04DB8F9B7}">
  <sheetPr>
    <outlinePr summaryBelow="0"/>
  </sheetPr>
  <dimension ref="A1:BO56"/>
  <sheetViews>
    <sheetView zoomScale="84" zoomScaleNormal="100" workbookViewId="0">
      <pane xSplit="2" ySplit="2" topLeftCell="G3" activePane="bottomRight" state="frozen"/>
      <selection pane="topRight" activeCell="C1" sqref="C1"/>
      <selection pane="bottomLeft" activeCell="A3" sqref="A3"/>
      <selection pane="bottomRight" activeCell="R33" sqref="R33"/>
    </sheetView>
  </sheetViews>
  <sheetFormatPr defaultColWidth="8.77734375" defaultRowHeight="14.4" outlineLevelRow="1"/>
  <cols>
    <col min="1" max="1" width="2.6640625" style="210" customWidth="1"/>
    <col min="2" max="2" width="50.77734375" style="211" customWidth="1"/>
    <col min="3" max="3" width="11.33203125" style="211" hidden="1" customWidth="1"/>
    <col min="4" max="4" width="12.109375" style="211" hidden="1" customWidth="1"/>
    <col min="5" max="6" width="9.44140625" style="211" hidden="1" customWidth="1"/>
    <col min="7" max="7" width="13.109375" style="212" bestFit="1" customWidth="1"/>
    <col min="8" max="8" width="14.6640625" style="212" bestFit="1" customWidth="1"/>
    <col min="9" max="13" width="11.109375" style="212" bestFit="1" customWidth="1"/>
    <col min="14" max="14" width="12.6640625" style="212" customWidth="1"/>
    <col min="15" max="16" width="14.33203125" style="212" customWidth="1"/>
    <col min="17" max="17" width="11.109375" style="212" bestFit="1" customWidth="1"/>
    <col min="18" max="18" width="13.109375" style="212" bestFit="1" customWidth="1"/>
    <col min="19" max="19" width="14.6640625" style="212" bestFit="1" customWidth="1"/>
    <col min="20" max="20" width="6.6640625" style="213" customWidth="1"/>
    <col min="21" max="21" width="65" style="212" customWidth="1"/>
    <col min="22" max="22" width="73.33203125" style="212" customWidth="1"/>
    <col min="23" max="16384" width="8.77734375" style="212"/>
  </cols>
  <sheetData>
    <row r="1" spans="1:67" s="148" customFormat="1" ht="31.95" customHeight="1">
      <c r="A1" s="144" t="s">
        <v>158</v>
      </c>
      <c r="B1" s="145"/>
      <c r="C1" s="146" t="s">
        <v>159</v>
      </c>
      <c r="D1" s="146" t="s">
        <v>160</v>
      </c>
      <c r="E1" s="146" t="s">
        <v>161</v>
      </c>
      <c r="F1" s="146" t="s">
        <v>162</v>
      </c>
      <c r="G1" s="147" t="s">
        <v>163</v>
      </c>
      <c r="H1" s="147" t="s">
        <v>120</v>
      </c>
      <c r="I1" s="147" t="s">
        <v>164</v>
      </c>
      <c r="J1" s="147" t="s">
        <v>165</v>
      </c>
      <c r="K1" s="147" t="s">
        <v>55</v>
      </c>
      <c r="L1" s="147" t="s">
        <v>166</v>
      </c>
      <c r="M1" s="147" t="s">
        <v>167</v>
      </c>
      <c r="N1" s="147" t="s">
        <v>168</v>
      </c>
      <c r="O1" s="147" t="s">
        <v>169</v>
      </c>
      <c r="P1" s="147" t="s">
        <v>126</v>
      </c>
      <c r="Q1" s="147" t="s">
        <v>122</v>
      </c>
      <c r="R1" s="147" t="s">
        <v>123</v>
      </c>
      <c r="S1" s="147" t="s">
        <v>170</v>
      </c>
      <c r="T1" s="147" t="s">
        <v>171</v>
      </c>
      <c r="U1" s="147" t="s">
        <v>172</v>
      </c>
      <c r="V1" s="147" t="s">
        <v>173</v>
      </c>
    </row>
    <row r="2" spans="1:67" s="153" customFormat="1" ht="21.6" thickBot="1">
      <c r="A2" s="149" t="s">
        <v>174</v>
      </c>
      <c r="B2" s="150"/>
      <c r="C2" s="150"/>
      <c r="D2" s="150"/>
      <c r="E2" s="150"/>
      <c r="F2" s="150"/>
      <c r="G2" s="151">
        <f t="shared" ref="G2:S2" si="0">SUM(G19,G17,G8,G3)</f>
        <v>149189.33333333334</v>
      </c>
      <c r="H2" s="151">
        <f t="shared" si="0"/>
        <v>458283.33333333331</v>
      </c>
      <c r="I2" s="151">
        <f t="shared" si="0"/>
        <v>68783.333333333343</v>
      </c>
      <c r="J2" s="151">
        <f t="shared" si="0"/>
        <v>22783.333333333336</v>
      </c>
      <c r="K2" s="151">
        <f t="shared" si="0"/>
        <v>43783.333333333336</v>
      </c>
      <c r="L2" s="151">
        <f t="shared" si="0"/>
        <v>46233.333333333336</v>
      </c>
      <c r="M2" s="151">
        <f t="shared" si="0"/>
        <v>45783.333333333336</v>
      </c>
      <c r="N2" s="151">
        <f t="shared" si="0"/>
        <v>63583.333333333336</v>
      </c>
      <c r="O2" s="151">
        <f t="shared" si="0"/>
        <v>85160.333333333343</v>
      </c>
      <c r="P2" s="151">
        <f t="shared" si="0"/>
        <v>105083.33333333334</v>
      </c>
      <c r="Q2" s="151">
        <f t="shared" si="0"/>
        <v>35083.333333333336</v>
      </c>
      <c r="R2" s="151">
        <f t="shared" si="0"/>
        <v>258533.33333333334</v>
      </c>
      <c r="S2" s="151">
        <f t="shared" si="0"/>
        <v>1382283</v>
      </c>
      <c r="T2" s="152" t="s">
        <v>175</v>
      </c>
      <c r="U2" s="149"/>
      <c r="W2" s="148"/>
      <c r="X2" s="148"/>
      <c r="Y2" s="148"/>
      <c r="Z2" s="148"/>
      <c r="AA2" s="148"/>
      <c r="AB2" s="148"/>
      <c r="AC2" s="148"/>
      <c r="AD2" s="148"/>
      <c r="AE2" s="148"/>
      <c r="AF2" s="148"/>
      <c r="AG2" s="148"/>
      <c r="AH2" s="148"/>
      <c r="AI2" s="148"/>
      <c r="AJ2" s="148"/>
      <c r="AK2" s="148"/>
      <c r="AL2" s="148"/>
      <c r="AM2" s="148"/>
      <c r="AN2" s="148"/>
      <c r="AO2" s="148"/>
      <c r="AP2" s="148"/>
      <c r="AQ2" s="148"/>
      <c r="AR2" s="148"/>
      <c r="AS2" s="148"/>
      <c r="AT2" s="148"/>
      <c r="AU2" s="148"/>
      <c r="AV2" s="148"/>
      <c r="AW2" s="148"/>
      <c r="AX2" s="148"/>
      <c r="AY2" s="148"/>
      <c r="AZ2" s="148"/>
      <c r="BA2" s="148"/>
      <c r="BB2" s="148"/>
      <c r="BC2" s="148"/>
      <c r="BD2" s="148"/>
      <c r="BE2" s="148"/>
      <c r="BF2" s="148"/>
      <c r="BG2" s="148"/>
      <c r="BH2" s="148"/>
      <c r="BI2" s="148"/>
      <c r="BJ2" s="148"/>
      <c r="BK2" s="148"/>
      <c r="BL2" s="148"/>
      <c r="BM2" s="148"/>
      <c r="BN2" s="148"/>
      <c r="BO2" s="148"/>
    </row>
    <row r="3" spans="1:67" s="154" customFormat="1" ht="21" collapsed="1">
      <c r="B3" s="155" t="s">
        <v>141</v>
      </c>
      <c r="C3" s="156">
        <f>SUM(C4:C7)</f>
        <v>500419</v>
      </c>
      <c r="D3" s="156">
        <f t="shared" ref="D3:F3" si="1">SUM(D4:D7)</f>
        <v>137000</v>
      </c>
      <c r="E3" s="156">
        <f t="shared" si="1"/>
        <v>155219</v>
      </c>
      <c r="F3" s="156">
        <f t="shared" si="1"/>
        <v>155219</v>
      </c>
      <c r="G3" s="157">
        <f>SUM(G4:G7)</f>
        <v>0</v>
      </c>
      <c r="H3" s="157">
        <f t="shared" ref="H3:K3" si="2">SUM(H4:H7)</f>
        <v>0</v>
      </c>
      <c r="I3" s="157">
        <f t="shared" si="2"/>
        <v>21000</v>
      </c>
      <c r="J3" s="157">
        <f>SUM(J4:J7)</f>
        <v>0</v>
      </c>
      <c r="K3" s="157">
        <f t="shared" si="2"/>
        <v>0</v>
      </c>
      <c r="L3" s="157">
        <f>SUM(L4:L7)</f>
        <v>21450</v>
      </c>
      <c r="M3" s="157">
        <f>SUM(M4:M7)</f>
        <v>0</v>
      </c>
      <c r="N3" s="157">
        <f t="shared" ref="N3" si="3">SUM(N4:N7)</f>
        <v>4000</v>
      </c>
      <c r="O3" s="157">
        <f>SUM(O4:O7)</f>
        <v>45450</v>
      </c>
      <c r="P3" s="157">
        <f>SUM(P4:P7)</f>
        <v>72000</v>
      </c>
      <c r="Q3" s="157">
        <f t="shared" ref="Q3" si="4">SUM(Q4:Q7)</f>
        <v>12000</v>
      </c>
      <c r="R3" s="157">
        <f>SUM(R4:R7)</f>
        <v>38450</v>
      </c>
      <c r="S3" s="158">
        <f>SUM(G3:R3)</f>
        <v>214350</v>
      </c>
      <c r="T3" s="159" t="s">
        <v>175</v>
      </c>
      <c r="U3" s="160"/>
      <c r="V3" s="160"/>
      <c r="W3" s="148"/>
      <c r="X3" s="148"/>
      <c r="Y3" s="148"/>
      <c r="Z3" s="148"/>
      <c r="AA3" s="148"/>
      <c r="AB3" s="148"/>
      <c r="AC3" s="148"/>
      <c r="AD3" s="148"/>
      <c r="AE3" s="148"/>
      <c r="AF3" s="148"/>
      <c r="AG3" s="148"/>
      <c r="AH3" s="148"/>
      <c r="AI3" s="148"/>
      <c r="AJ3" s="148"/>
      <c r="AK3" s="148"/>
      <c r="AL3" s="148"/>
      <c r="AM3" s="148"/>
      <c r="AN3" s="148"/>
      <c r="AO3" s="148"/>
      <c r="AP3" s="148"/>
      <c r="AQ3" s="148"/>
      <c r="AR3" s="148"/>
      <c r="AS3" s="148"/>
      <c r="AT3" s="148"/>
      <c r="AU3" s="148"/>
      <c r="AV3" s="148"/>
      <c r="AW3" s="148"/>
      <c r="AX3" s="148"/>
      <c r="AY3" s="148"/>
      <c r="AZ3" s="148"/>
      <c r="BA3" s="148"/>
      <c r="BB3" s="148"/>
      <c r="BC3" s="148"/>
      <c r="BD3" s="148"/>
      <c r="BE3" s="148"/>
      <c r="BF3" s="148"/>
      <c r="BG3" s="148"/>
      <c r="BH3" s="148"/>
      <c r="BI3" s="148"/>
      <c r="BJ3" s="148"/>
      <c r="BK3" s="148"/>
      <c r="BL3" s="148"/>
      <c r="BM3" s="148"/>
      <c r="BN3" s="148"/>
      <c r="BO3" s="148"/>
    </row>
    <row r="4" spans="1:67" s="168" customFormat="1" ht="21" hidden="1" outlineLevel="1">
      <c r="A4" s="161"/>
      <c r="B4" s="162" t="s">
        <v>176</v>
      </c>
      <c r="C4" s="163">
        <v>50000</v>
      </c>
      <c r="D4" s="163">
        <v>37000</v>
      </c>
      <c r="E4" s="163"/>
      <c r="F4" s="163"/>
      <c r="G4" s="164"/>
      <c r="H4" s="164"/>
      <c r="I4" s="164">
        <v>8000</v>
      </c>
      <c r="J4" s="164"/>
      <c r="K4" s="164"/>
      <c r="L4" s="164"/>
      <c r="M4" s="165"/>
      <c r="N4" s="165"/>
      <c r="O4" s="165"/>
      <c r="P4" s="165"/>
      <c r="Q4" s="165">
        <v>12000</v>
      </c>
      <c r="R4" s="165">
        <v>17000</v>
      </c>
      <c r="S4" s="164">
        <f>SUM(G4:R4)</f>
        <v>37000</v>
      </c>
      <c r="T4" s="166" t="s">
        <v>177</v>
      </c>
      <c r="U4" s="167" t="s">
        <v>178</v>
      </c>
      <c r="V4" s="162"/>
      <c r="W4" s="148"/>
      <c r="X4" s="148"/>
      <c r="Y4" s="148"/>
      <c r="Z4" s="148"/>
      <c r="AA4" s="148"/>
      <c r="AB4" s="148"/>
      <c r="AC4" s="148"/>
      <c r="AD4" s="148"/>
      <c r="AE4" s="148"/>
      <c r="AF4" s="148"/>
      <c r="AG4" s="148"/>
      <c r="AH4" s="148"/>
      <c r="AI4" s="148"/>
      <c r="AJ4" s="148"/>
      <c r="AK4" s="148"/>
      <c r="AL4" s="148"/>
      <c r="AM4" s="148"/>
      <c r="AN4" s="148"/>
      <c r="AO4" s="148"/>
      <c r="AP4" s="148"/>
      <c r="AQ4" s="148"/>
      <c r="AR4" s="148"/>
      <c r="AS4" s="148"/>
      <c r="AT4" s="148"/>
      <c r="AU4" s="148"/>
      <c r="AV4" s="148"/>
      <c r="AW4" s="148"/>
      <c r="AX4" s="148"/>
      <c r="AY4" s="148"/>
      <c r="AZ4" s="148"/>
      <c r="BA4" s="148"/>
      <c r="BB4" s="148"/>
      <c r="BC4" s="148"/>
      <c r="BD4" s="148"/>
      <c r="BE4" s="148"/>
      <c r="BF4" s="148"/>
      <c r="BG4" s="148"/>
      <c r="BH4" s="148"/>
      <c r="BI4" s="148"/>
      <c r="BJ4" s="148"/>
      <c r="BK4" s="148"/>
      <c r="BL4" s="148"/>
      <c r="BM4" s="148"/>
      <c r="BN4" s="148"/>
      <c r="BO4" s="148"/>
    </row>
    <row r="5" spans="1:67" s="168" customFormat="1" ht="21" hidden="1" outlineLevel="1">
      <c r="A5" s="161"/>
      <c r="B5" s="169" t="s">
        <v>179</v>
      </c>
      <c r="C5" s="163">
        <v>50000</v>
      </c>
      <c r="D5" s="163">
        <v>0</v>
      </c>
      <c r="E5" s="163">
        <v>53000</v>
      </c>
      <c r="F5" s="163">
        <v>53000</v>
      </c>
      <c r="G5" s="164"/>
      <c r="H5" s="164"/>
      <c r="I5" s="164"/>
      <c r="J5" s="164"/>
      <c r="K5" s="164"/>
      <c r="L5" s="164"/>
      <c r="M5" s="165"/>
      <c r="N5" s="165"/>
      <c r="O5" s="165"/>
      <c r="P5" s="170"/>
      <c r="Q5" s="165"/>
      <c r="R5" s="165"/>
      <c r="S5" s="171"/>
      <c r="T5" s="172" t="s">
        <v>180</v>
      </c>
      <c r="U5" s="162"/>
      <c r="V5" s="162"/>
      <c r="W5" s="148"/>
      <c r="X5" s="148"/>
      <c r="Y5" s="148"/>
      <c r="Z5" s="148"/>
      <c r="AA5" s="148"/>
      <c r="AB5" s="148"/>
      <c r="AC5" s="148"/>
      <c r="AD5" s="148"/>
      <c r="AE5" s="148"/>
      <c r="AF5" s="148"/>
      <c r="AG5" s="148"/>
      <c r="AH5" s="148"/>
      <c r="AI5" s="148"/>
      <c r="AJ5" s="148"/>
      <c r="AK5" s="148"/>
      <c r="AL5" s="148"/>
      <c r="AM5" s="148"/>
      <c r="AN5" s="148"/>
      <c r="AO5" s="148"/>
      <c r="AP5" s="148"/>
      <c r="AQ5" s="148"/>
      <c r="AR5" s="148"/>
      <c r="AS5" s="148"/>
      <c r="AT5" s="148"/>
      <c r="AU5" s="148"/>
      <c r="AV5" s="148"/>
      <c r="AW5" s="148"/>
      <c r="AX5" s="148"/>
      <c r="AY5" s="148"/>
      <c r="AZ5" s="148"/>
      <c r="BA5" s="148"/>
      <c r="BB5" s="148"/>
      <c r="BC5" s="148"/>
      <c r="BD5" s="148"/>
      <c r="BE5" s="148"/>
      <c r="BF5" s="148"/>
      <c r="BG5" s="148"/>
      <c r="BH5" s="148"/>
      <c r="BI5" s="148"/>
      <c r="BJ5" s="148"/>
      <c r="BK5" s="148"/>
      <c r="BL5" s="148"/>
      <c r="BM5" s="148"/>
      <c r="BN5" s="148"/>
      <c r="BO5" s="148"/>
    </row>
    <row r="6" spans="1:67" s="174" customFormat="1" ht="21" hidden="1" outlineLevel="1">
      <c r="A6" s="173"/>
      <c r="B6" s="162" t="s">
        <v>181</v>
      </c>
      <c r="C6" s="163">
        <v>100000</v>
      </c>
      <c r="D6" s="163">
        <v>100000</v>
      </c>
      <c r="E6" s="163">
        <v>102219</v>
      </c>
      <c r="F6" s="163">
        <v>102219</v>
      </c>
      <c r="G6" s="167"/>
      <c r="H6" s="167"/>
      <c r="I6" s="167"/>
      <c r="J6" s="167"/>
      <c r="K6" s="167"/>
      <c r="L6" s="167"/>
      <c r="N6" s="167">
        <v>4000</v>
      </c>
      <c r="O6" s="167">
        <v>24000</v>
      </c>
      <c r="P6" s="167">
        <v>72000</v>
      </c>
      <c r="Q6" s="167"/>
      <c r="R6" s="167"/>
      <c r="S6" s="175">
        <f>SUM(G6:R6)</f>
        <v>100000</v>
      </c>
      <c r="T6" s="172" t="s">
        <v>180</v>
      </c>
      <c r="U6" s="176"/>
      <c r="V6" s="176"/>
      <c r="W6" s="148"/>
      <c r="X6" s="148"/>
      <c r="Y6" s="148"/>
      <c r="Z6" s="148"/>
      <c r="AA6" s="148"/>
      <c r="AB6" s="148"/>
      <c r="AC6" s="148"/>
      <c r="AD6" s="148"/>
      <c r="AE6" s="148"/>
      <c r="AF6" s="148"/>
      <c r="AG6" s="148"/>
      <c r="AH6" s="148"/>
      <c r="AI6" s="148"/>
      <c r="AJ6" s="148"/>
      <c r="AK6" s="148"/>
      <c r="AL6" s="148"/>
      <c r="AM6" s="148"/>
      <c r="AN6" s="148"/>
      <c r="AO6" s="148"/>
      <c r="AP6" s="148"/>
      <c r="AQ6" s="148"/>
      <c r="AR6" s="148"/>
      <c r="AS6" s="148"/>
      <c r="AT6" s="148"/>
      <c r="AU6" s="148"/>
      <c r="AV6" s="148"/>
      <c r="AW6" s="148"/>
      <c r="AX6" s="148"/>
      <c r="AY6" s="148"/>
      <c r="AZ6" s="148"/>
      <c r="BA6" s="148"/>
      <c r="BB6" s="148"/>
      <c r="BC6" s="148"/>
      <c r="BD6" s="148"/>
      <c r="BE6" s="148"/>
      <c r="BF6" s="148"/>
      <c r="BG6" s="148"/>
      <c r="BH6" s="148"/>
      <c r="BI6" s="148"/>
      <c r="BJ6" s="148"/>
      <c r="BK6" s="148"/>
      <c r="BL6" s="148"/>
      <c r="BM6" s="148"/>
      <c r="BN6" s="148"/>
      <c r="BO6" s="148"/>
    </row>
    <row r="7" spans="1:67" s="174" customFormat="1" ht="21" hidden="1" outlineLevel="1">
      <c r="A7" s="173"/>
      <c r="B7" s="162" t="s">
        <v>136</v>
      </c>
      <c r="C7" s="163">
        <v>300419</v>
      </c>
      <c r="D7" s="177"/>
      <c r="E7" s="163"/>
      <c r="F7" s="163"/>
      <c r="G7" s="178"/>
      <c r="H7" s="178"/>
      <c r="I7" s="174">
        <v>13000</v>
      </c>
      <c r="J7" s="178"/>
      <c r="K7" s="178"/>
      <c r="L7" s="174">
        <v>21450</v>
      </c>
      <c r="M7" s="178"/>
      <c r="N7" s="178"/>
      <c r="O7" s="174">
        <v>21450</v>
      </c>
      <c r="P7" s="178"/>
      <c r="Q7" s="178"/>
      <c r="R7" s="178">
        <v>21450</v>
      </c>
      <c r="S7" s="175">
        <f>SUM(G7:R7)</f>
        <v>77350</v>
      </c>
      <c r="T7" s="172" t="s">
        <v>180</v>
      </c>
      <c r="U7" s="179" t="s">
        <v>263</v>
      </c>
      <c r="V7" s="179"/>
      <c r="W7" s="148"/>
      <c r="X7" s="148"/>
      <c r="Y7" s="148"/>
      <c r="Z7" s="148"/>
      <c r="AA7" s="148"/>
      <c r="AB7" s="148"/>
      <c r="AC7" s="148"/>
      <c r="AD7" s="148"/>
      <c r="AE7" s="148"/>
      <c r="AF7" s="148"/>
      <c r="AG7" s="148"/>
      <c r="AH7" s="148"/>
      <c r="AI7" s="148"/>
      <c r="AJ7" s="148"/>
      <c r="AK7" s="148"/>
      <c r="AL7" s="148"/>
      <c r="AM7" s="148"/>
      <c r="AN7" s="148"/>
      <c r="AO7" s="148"/>
      <c r="AP7" s="148"/>
      <c r="AQ7" s="148"/>
      <c r="AR7" s="148"/>
      <c r="AS7" s="148"/>
      <c r="AT7" s="148"/>
      <c r="AU7" s="148"/>
      <c r="AV7" s="148"/>
      <c r="AW7" s="148"/>
      <c r="AX7" s="148"/>
      <c r="AY7" s="148"/>
      <c r="AZ7" s="148"/>
      <c r="BA7" s="148"/>
      <c r="BB7" s="148"/>
      <c r="BC7" s="148"/>
      <c r="BD7" s="148"/>
      <c r="BE7" s="148"/>
      <c r="BF7" s="148"/>
      <c r="BG7" s="148"/>
      <c r="BH7" s="148"/>
      <c r="BI7" s="148"/>
      <c r="BJ7" s="148"/>
      <c r="BK7" s="148"/>
      <c r="BL7" s="148"/>
      <c r="BM7" s="148"/>
      <c r="BN7" s="148"/>
      <c r="BO7" s="148"/>
    </row>
    <row r="8" spans="1:67" s="154" customFormat="1" ht="21" collapsed="1">
      <c r="B8" s="155" t="s">
        <v>142</v>
      </c>
      <c r="C8" s="156">
        <f>SUM(C9:C16)</f>
        <v>1525533</v>
      </c>
      <c r="D8" s="156">
        <f t="shared" ref="D8:F8" si="5">SUM(D9:D16)</f>
        <v>1261536</v>
      </c>
      <c r="E8" s="156">
        <f t="shared" si="5"/>
        <v>219000</v>
      </c>
      <c r="F8" s="156">
        <f t="shared" si="5"/>
        <v>219000</v>
      </c>
      <c r="G8" s="157">
        <f>SUM(G9:G16)</f>
        <v>136356</v>
      </c>
      <c r="H8" s="157">
        <f t="shared" ref="H8:M8" si="6">SUM(H9:H16)</f>
        <v>425450</v>
      </c>
      <c r="I8" s="157">
        <f t="shared" si="6"/>
        <v>34950</v>
      </c>
      <c r="J8" s="157">
        <f t="shared" si="6"/>
        <v>9950</v>
      </c>
      <c r="K8" s="157">
        <f t="shared" si="6"/>
        <v>30950</v>
      </c>
      <c r="L8" s="157">
        <f t="shared" si="6"/>
        <v>10450</v>
      </c>
      <c r="M8" s="157">
        <f t="shared" si="6"/>
        <v>31450</v>
      </c>
      <c r="N8" s="157">
        <f>SUM(N9:N16)</f>
        <v>45250</v>
      </c>
      <c r="O8" s="157">
        <f t="shared" ref="O8:P8" si="7">SUM(O9:O16)</f>
        <v>25377</v>
      </c>
      <c r="P8" s="157">
        <f t="shared" si="7"/>
        <v>18750</v>
      </c>
      <c r="Q8" s="157">
        <f>SUM(Q9:Q16)</f>
        <v>8750</v>
      </c>
      <c r="R8" s="157">
        <f t="shared" ref="R8" si="8">SUM(R9:R16)</f>
        <v>205750</v>
      </c>
      <c r="S8" s="157">
        <f>SUM(G8:R8)</f>
        <v>983433</v>
      </c>
      <c r="T8" s="180" t="s">
        <v>175</v>
      </c>
      <c r="U8" s="160"/>
      <c r="V8" s="160"/>
      <c r="W8" s="148"/>
      <c r="X8" s="148"/>
      <c r="Y8" s="148"/>
      <c r="Z8" s="148"/>
      <c r="AA8" s="148"/>
      <c r="AB8" s="148"/>
      <c r="AC8" s="148"/>
      <c r="AD8" s="148"/>
      <c r="AE8" s="148"/>
      <c r="AF8" s="148"/>
      <c r="AG8" s="148"/>
      <c r="AH8" s="148"/>
      <c r="AI8" s="148"/>
      <c r="AJ8" s="148"/>
      <c r="AK8" s="148"/>
      <c r="AL8" s="148"/>
      <c r="AM8" s="148"/>
      <c r="AN8" s="148"/>
      <c r="AO8" s="148"/>
      <c r="AP8" s="148"/>
      <c r="AQ8" s="148"/>
      <c r="AR8" s="148"/>
      <c r="AS8" s="148"/>
      <c r="AT8" s="148"/>
      <c r="AU8" s="148"/>
      <c r="AV8" s="148"/>
      <c r="AW8" s="148"/>
      <c r="AX8" s="148"/>
      <c r="AY8" s="148"/>
      <c r="AZ8" s="148"/>
      <c r="BA8" s="148"/>
      <c r="BB8" s="148"/>
      <c r="BC8" s="148"/>
      <c r="BD8" s="148"/>
      <c r="BE8" s="148"/>
      <c r="BF8" s="148"/>
      <c r="BG8" s="148"/>
      <c r="BH8" s="148"/>
      <c r="BI8" s="148"/>
      <c r="BJ8" s="148"/>
      <c r="BK8" s="148"/>
      <c r="BL8" s="148"/>
      <c r="BM8" s="148"/>
      <c r="BN8" s="148"/>
      <c r="BO8" s="148"/>
    </row>
    <row r="9" spans="1:67" s="174" customFormat="1" ht="21" hidden="1" outlineLevel="1">
      <c r="A9" s="173"/>
      <c r="B9" s="162" t="s">
        <v>182</v>
      </c>
      <c r="C9" s="163">
        <v>57000</v>
      </c>
      <c r="D9" s="163">
        <v>57000</v>
      </c>
      <c r="E9" s="163">
        <v>19000</v>
      </c>
      <c r="F9" s="163">
        <v>19000</v>
      </c>
      <c r="G9" s="181">
        <v>4750</v>
      </c>
      <c r="H9" s="181">
        <v>4750</v>
      </c>
      <c r="I9" s="181">
        <v>4750</v>
      </c>
      <c r="J9" s="181">
        <v>4750</v>
      </c>
      <c r="K9" s="181">
        <v>4750</v>
      </c>
      <c r="L9" s="181">
        <v>4750</v>
      </c>
      <c r="M9" s="181">
        <v>4750</v>
      </c>
      <c r="N9" s="181">
        <v>4750</v>
      </c>
      <c r="O9" s="181">
        <v>4750</v>
      </c>
      <c r="P9" s="181">
        <v>4750</v>
      </c>
      <c r="Q9" s="181">
        <v>4750</v>
      </c>
      <c r="R9" s="181">
        <v>4750</v>
      </c>
      <c r="S9" s="182">
        <f t="shared" ref="S9" si="9">SUM(G9:R9)</f>
        <v>57000</v>
      </c>
      <c r="T9" s="183" t="s">
        <v>180</v>
      </c>
      <c r="U9" s="184" t="s">
        <v>183</v>
      </c>
      <c r="V9" s="184"/>
      <c r="W9" s="148"/>
      <c r="X9" s="148"/>
      <c r="Y9" s="148"/>
      <c r="Z9" s="148"/>
      <c r="AA9" s="148"/>
      <c r="AB9" s="148"/>
      <c r="AC9" s="148"/>
      <c r="AD9" s="148"/>
      <c r="AE9" s="148"/>
      <c r="AF9" s="148"/>
      <c r="AG9" s="148"/>
      <c r="AH9" s="148"/>
      <c r="AI9" s="148"/>
      <c r="AJ9" s="148"/>
      <c r="AK9" s="148"/>
      <c r="AL9" s="148"/>
      <c r="AM9" s="148"/>
      <c r="AN9" s="148"/>
      <c r="AO9" s="148"/>
      <c r="AP9" s="148"/>
      <c r="AQ9" s="148"/>
      <c r="AR9" s="148"/>
      <c r="AS9" s="148"/>
      <c r="AT9" s="148"/>
      <c r="AU9" s="148"/>
      <c r="AV9" s="148"/>
      <c r="AW9" s="148"/>
      <c r="AX9" s="148"/>
      <c r="AY9" s="148"/>
      <c r="AZ9" s="148"/>
      <c r="BA9" s="148"/>
      <c r="BB9" s="148"/>
      <c r="BC9" s="148"/>
      <c r="BD9" s="148"/>
      <c r="BE9" s="148"/>
      <c r="BF9" s="148"/>
      <c r="BG9" s="148"/>
      <c r="BH9" s="148"/>
      <c r="BI9" s="148"/>
      <c r="BJ9" s="148"/>
      <c r="BK9" s="148"/>
      <c r="BL9" s="148"/>
      <c r="BM9" s="148"/>
      <c r="BN9" s="148"/>
      <c r="BO9" s="148"/>
    </row>
    <row r="10" spans="1:67" s="174" customFormat="1" ht="21" hidden="1" outlineLevel="1">
      <c r="A10" s="173"/>
      <c r="B10" s="162" t="s">
        <v>145</v>
      </c>
      <c r="C10" s="163">
        <v>994533</v>
      </c>
      <c r="D10" s="163">
        <v>761736</v>
      </c>
      <c r="E10" s="163">
        <v>0</v>
      </c>
      <c r="F10" s="163">
        <v>0</v>
      </c>
      <c r="G10" s="167">
        <v>105000</v>
      </c>
      <c r="H10" s="167">
        <v>400000</v>
      </c>
      <c r="I10" s="167">
        <v>2500</v>
      </c>
      <c r="J10" s="167">
        <v>2500</v>
      </c>
      <c r="K10" s="167">
        <v>2500</v>
      </c>
      <c r="L10" s="167">
        <v>2500</v>
      </c>
      <c r="M10" s="167">
        <v>2500</v>
      </c>
      <c r="N10" s="167">
        <v>2500</v>
      </c>
      <c r="O10" s="167">
        <v>2500</v>
      </c>
      <c r="P10" s="167">
        <v>2500</v>
      </c>
      <c r="Q10" s="167">
        <v>2500</v>
      </c>
      <c r="R10" s="167">
        <v>1000</v>
      </c>
      <c r="S10" s="175">
        <f>SUM(G10:R10)</f>
        <v>528500</v>
      </c>
      <c r="T10" s="172" t="s">
        <v>180</v>
      </c>
      <c r="U10" s="176" t="s">
        <v>184</v>
      </c>
      <c r="V10" s="176" t="s">
        <v>185</v>
      </c>
      <c r="W10" s="148"/>
      <c r="X10" s="148"/>
      <c r="Y10" s="148"/>
      <c r="Z10" s="148"/>
      <c r="AA10" s="148"/>
      <c r="AB10" s="148"/>
      <c r="AC10" s="148"/>
      <c r="AD10" s="148"/>
      <c r="AE10" s="148"/>
      <c r="AF10" s="148"/>
      <c r="AG10" s="148"/>
      <c r="AH10" s="148"/>
      <c r="AI10" s="148"/>
      <c r="AJ10" s="148"/>
      <c r="AK10" s="148"/>
      <c r="AL10" s="148"/>
      <c r="AM10" s="148"/>
      <c r="AN10" s="148"/>
      <c r="AO10" s="148"/>
      <c r="AP10" s="148"/>
      <c r="AQ10" s="148"/>
      <c r="AR10" s="148"/>
      <c r="AS10" s="148"/>
      <c r="AT10" s="148"/>
      <c r="AU10" s="148"/>
      <c r="AV10" s="148"/>
      <c r="AW10" s="148"/>
      <c r="AX10" s="148"/>
      <c r="AY10" s="148"/>
      <c r="AZ10" s="148"/>
      <c r="BA10" s="148"/>
      <c r="BB10" s="148"/>
      <c r="BC10" s="148"/>
      <c r="BD10" s="148"/>
      <c r="BE10" s="148"/>
      <c r="BF10" s="148"/>
      <c r="BG10" s="148"/>
      <c r="BH10" s="148"/>
      <c r="BI10" s="148"/>
      <c r="BJ10" s="148"/>
      <c r="BK10" s="148"/>
      <c r="BL10" s="148"/>
      <c r="BM10" s="148"/>
      <c r="BN10" s="148"/>
      <c r="BO10" s="148"/>
    </row>
    <row r="11" spans="1:67" s="174" customFormat="1" ht="21" hidden="1" outlineLevel="1">
      <c r="A11" s="173"/>
      <c r="B11" s="162" t="s">
        <v>186</v>
      </c>
      <c r="C11" s="163">
        <v>200000</v>
      </c>
      <c r="D11" s="163">
        <v>200000</v>
      </c>
      <c r="E11" s="163">
        <v>200000</v>
      </c>
      <c r="F11" s="163">
        <v>200000</v>
      </c>
      <c r="G11" s="167"/>
      <c r="H11" s="167"/>
      <c r="I11" s="167"/>
      <c r="J11" s="167"/>
      <c r="K11" s="167"/>
      <c r="L11" s="167">
        <v>500</v>
      </c>
      <c r="M11" s="167">
        <v>500</v>
      </c>
      <c r="N11" s="167">
        <v>500</v>
      </c>
      <c r="O11" s="167">
        <v>500</v>
      </c>
      <c r="P11" s="167">
        <v>500</v>
      </c>
      <c r="Q11" s="167">
        <v>500</v>
      </c>
      <c r="R11" s="167">
        <v>200000</v>
      </c>
      <c r="S11" s="167">
        <f>SUM(G11:R11)</f>
        <v>203000</v>
      </c>
      <c r="T11" s="166" t="s">
        <v>177</v>
      </c>
      <c r="U11" s="176" t="s">
        <v>187</v>
      </c>
      <c r="V11" s="176"/>
      <c r="W11" s="148"/>
      <c r="X11" s="148"/>
      <c r="Y11" s="148"/>
      <c r="Z11" s="148"/>
      <c r="AA11" s="148"/>
      <c r="AB11" s="148"/>
      <c r="AC11" s="148"/>
      <c r="AD11" s="148"/>
      <c r="AE11" s="148"/>
      <c r="AF11" s="148"/>
      <c r="AG11" s="148"/>
      <c r="AH11" s="148"/>
      <c r="AI11" s="148"/>
      <c r="AJ11" s="148"/>
      <c r="AK11" s="148"/>
      <c r="AL11" s="148"/>
      <c r="AM11" s="148"/>
      <c r="AN11" s="148"/>
      <c r="AO11" s="148"/>
      <c r="AP11" s="148"/>
      <c r="AQ11" s="148"/>
      <c r="AR11" s="148"/>
      <c r="AS11" s="148"/>
      <c r="AT11" s="148"/>
      <c r="AU11" s="148"/>
      <c r="AV11" s="148"/>
      <c r="AW11" s="148"/>
      <c r="AX11" s="148"/>
      <c r="AY11" s="148"/>
      <c r="AZ11" s="148"/>
      <c r="BA11" s="148"/>
      <c r="BB11" s="148"/>
      <c r="BC11" s="148"/>
      <c r="BD11" s="148"/>
      <c r="BE11" s="148"/>
      <c r="BF11" s="148"/>
      <c r="BG11" s="148"/>
      <c r="BH11" s="148"/>
      <c r="BI11" s="148"/>
      <c r="BJ11" s="148"/>
      <c r="BK11" s="148"/>
      <c r="BL11" s="148"/>
      <c r="BM11" s="148"/>
      <c r="BN11" s="148"/>
      <c r="BO11" s="148"/>
    </row>
    <row r="12" spans="1:67" s="174" customFormat="1" ht="21" hidden="1" outlineLevel="1">
      <c r="A12" s="173"/>
      <c r="B12" s="162" t="s">
        <v>152</v>
      </c>
      <c r="C12" s="163">
        <v>168000</v>
      </c>
      <c r="D12" s="163">
        <v>168000</v>
      </c>
      <c r="E12" s="163">
        <v>0</v>
      </c>
      <c r="F12" s="163">
        <v>0</v>
      </c>
      <c r="G12" s="167">
        <v>700</v>
      </c>
      <c r="H12" s="167">
        <v>700</v>
      </c>
      <c r="I12" s="167">
        <v>700</v>
      </c>
      <c r="J12" s="167">
        <v>700</v>
      </c>
      <c r="K12" s="167">
        <v>700</v>
      </c>
      <c r="L12" s="167">
        <v>700</v>
      </c>
      <c r="M12" s="167">
        <v>700</v>
      </c>
      <c r="N12" s="167">
        <v>700</v>
      </c>
      <c r="O12" s="167">
        <v>700</v>
      </c>
      <c r="P12" s="167"/>
      <c r="Q12" s="167"/>
      <c r="R12" s="167"/>
      <c r="S12" s="175">
        <f>SUM(G12:R12)</f>
        <v>6300</v>
      </c>
      <c r="T12" s="172" t="s">
        <v>180</v>
      </c>
      <c r="U12" s="176" t="s">
        <v>188</v>
      </c>
      <c r="V12" s="176"/>
      <c r="W12" s="148"/>
      <c r="X12" s="148"/>
      <c r="Y12" s="148"/>
      <c r="Z12" s="148"/>
      <c r="AA12" s="148"/>
      <c r="AB12" s="148"/>
      <c r="AC12" s="148"/>
      <c r="AD12" s="148"/>
      <c r="AE12" s="148"/>
      <c r="AF12" s="148"/>
      <c r="AG12" s="148"/>
      <c r="AH12" s="148"/>
      <c r="AI12" s="148"/>
      <c r="AJ12" s="148"/>
      <c r="AK12" s="148"/>
      <c r="AL12" s="148"/>
      <c r="AM12" s="148"/>
      <c r="AN12" s="148"/>
      <c r="AO12" s="148"/>
      <c r="AP12" s="148"/>
      <c r="AQ12" s="148"/>
      <c r="AR12" s="148"/>
      <c r="AS12" s="148"/>
      <c r="AT12" s="148"/>
      <c r="AU12" s="148"/>
      <c r="AV12" s="148"/>
      <c r="AW12" s="148"/>
      <c r="AX12" s="148"/>
      <c r="AY12" s="148"/>
      <c r="AZ12" s="148"/>
      <c r="BA12" s="148"/>
      <c r="BB12" s="148"/>
      <c r="BC12" s="148"/>
      <c r="BD12" s="148"/>
      <c r="BE12" s="148"/>
      <c r="BF12" s="148"/>
      <c r="BG12" s="148"/>
      <c r="BH12" s="148"/>
      <c r="BI12" s="148"/>
      <c r="BJ12" s="148"/>
      <c r="BK12" s="148"/>
      <c r="BL12" s="148"/>
      <c r="BM12" s="148"/>
      <c r="BN12" s="148"/>
      <c r="BO12" s="148"/>
    </row>
    <row r="13" spans="1:67" s="174" customFormat="1" ht="21" hidden="1" outlineLevel="1">
      <c r="A13" s="173"/>
      <c r="B13" s="162" t="s">
        <v>189</v>
      </c>
      <c r="C13" s="185">
        <v>106000</v>
      </c>
      <c r="D13" s="163"/>
      <c r="E13" s="163"/>
      <c r="F13" s="163"/>
      <c r="G13" s="186">
        <v>21073</v>
      </c>
      <c r="H13" s="186"/>
      <c r="I13" s="186">
        <v>25000</v>
      </c>
      <c r="J13" s="186"/>
      <c r="K13" s="186">
        <v>21000</v>
      </c>
      <c r="L13" s="186"/>
      <c r="M13" s="186">
        <v>21000</v>
      </c>
      <c r="N13" s="186"/>
      <c r="O13" s="186">
        <v>15927</v>
      </c>
      <c r="P13" s="186">
        <v>10000</v>
      </c>
      <c r="Q13" s="186"/>
      <c r="R13" s="186"/>
      <c r="S13" s="167">
        <f t="shared" ref="S13:S14" si="10">SUM(G13:R13)</f>
        <v>114000</v>
      </c>
      <c r="T13" s="166" t="s">
        <v>177</v>
      </c>
      <c r="U13" s="176" t="s">
        <v>264</v>
      </c>
      <c r="V13" s="176"/>
      <c r="W13" s="148"/>
      <c r="X13" s="148"/>
      <c r="Y13" s="148"/>
      <c r="Z13" s="148"/>
      <c r="AA13" s="148"/>
      <c r="AB13" s="148"/>
      <c r="AC13" s="148"/>
      <c r="AD13" s="148"/>
      <c r="AE13" s="148"/>
      <c r="AF13" s="148"/>
      <c r="AG13" s="148"/>
      <c r="AH13" s="148"/>
      <c r="AI13" s="148"/>
      <c r="AJ13" s="148"/>
      <c r="AK13" s="148"/>
      <c r="AL13" s="148"/>
      <c r="AM13" s="148"/>
      <c r="AN13" s="148"/>
      <c r="AO13" s="148"/>
      <c r="AP13" s="148"/>
      <c r="AQ13" s="148"/>
      <c r="AR13" s="148"/>
      <c r="AS13" s="148"/>
      <c r="AT13" s="148"/>
      <c r="AU13" s="148"/>
      <c r="AV13" s="148"/>
      <c r="AW13" s="148"/>
      <c r="AX13" s="148"/>
      <c r="AY13" s="148"/>
      <c r="AZ13" s="148"/>
      <c r="BA13" s="148"/>
      <c r="BB13" s="148"/>
      <c r="BC13" s="148"/>
      <c r="BD13" s="148"/>
      <c r="BE13" s="148"/>
      <c r="BF13" s="148"/>
      <c r="BG13" s="148"/>
      <c r="BH13" s="148"/>
      <c r="BI13" s="148"/>
      <c r="BJ13" s="148"/>
      <c r="BK13" s="148"/>
      <c r="BL13" s="148"/>
      <c r="BM13" s="148"/>
      <c r="BN13" s="148"/>
      <c r="BO13" s="148"/>
    </row>
    <row r="14" spans="1:67" s="174" customFormat="1" ht="21" hidden="1" outlineLevel="1">
      <c r="A14" s="173"/>
      <c r="B14" s="162" t="s">
        <v>190</v>
      </c>
      <c r="C14" s="163"/>
      <c r="D14" s="177">
        <v>74800</v>
      </c>
      <c r="E14" s="163"/>
      <c r="F14" s="163"/>
      <c r="G14" s="167"/>
      <c r="H14" s="187"/>
      <c r="I14" s="187"/>
      <c r="J14" s="187"/>
      <c r="K14" s="187"/>
      <c r="L14" s="187"/>
      <c r="M14" s="187"/>
      <c r="N14" s="187"/>
      <c r="O14" s="187"/>
      <c r="P14" s="187"/>
      <c r="Q14" s="187"/>
      <c r="R14" s="187"/>
      <c r="S14" s="167">
        <f t="shared" si="10"/>
        <v>0</v>
      </c>
      <c r="T14" s="166" t="s">
        <v>177</v>
      </c>
      <c r="U14" s="188" t="s">
        <v>191</v>
      </c>
      <c r="V14" s="176"/>
      <c r="W14" s="148"/>
      <c r="X14" s="148"/>
      <c r="Y14" s="148"/>
      <c r="Z14" s="148"/>
      <c r="AA14" s="148"/>
      <c r="AB14" s="148"/>
      <c r="AC14" s="148"/>
      <c r="AD14" s="148"/>
      <c r="AE14" s="148"/>
      <c r="AF14" s="148"/>
      <c r="AG14" s="148"/>
      <c r="AH14" s="148"/>
      <c r="AI14" s="148"/>
      <c r="AJ14" s="148"/>
      <c r="AK14" s="148"/>
      <c r="AL14" s="148"/>
      <c r="AM14" s="148"/>
      <c r="AN14" s="148"/>
      <c r="AO14" s="148"/>
      <c r="AP14" s="148"/>
      <c r="AQ14" s="148"/>
      <c r="AR14" s="148"/>
      <c r="AS14" s="148"/>
      <c r="AT14" s="148"/>
      <c r="AU14" s="148"/>
      <c r="AV14" s="148"/>
      <c r="AW14" s="148"/>
      <c r="AX14" s="148"/>
      <c r="AY14" s="148"/>
      <c r="AZ14" s="148"/>
      <c r="BA14" s="148"/>
      <c r="BB14" s="148"/>
      <c r="BC14" s="148"/>
      <c r="BD14" s="148"/>
      <c r="BE14" s="148"/>
      <c r="BF14" s="148"/>
      <c r="BG14" s="148"/>
      <c r="BH14" s="148"/>
      <c r="BI14" s="148"/>
      <c r="BJ14" s="148"/>
      <c r="BK14" s="148"/>
      <c r="BL14" s="148"/>
      <c r="BM14" s="148"/>
      <c r="BN14" s="148"/>
      <c r="BO14" s="148"/>
    </row>
    <row r="15" spans="1:67" s="174" customFormat="1" ht="21" hidden="1" outlineLevel="1">
      <c r="A15" s="173"/>
      <c r="B15" s="162" t="s">
        <v>192</v>
      </c>
      <c r="C15" s="163"/>
      <c r="D15" s="163"/>
      <c r="E15" s="163"/>
      <c r="F15" s="163"/>
      <c r="G15" s="167">
        <v>4833</v>
      </c>
      <c r="H15" s="167">
        <v>20000</v>
      </c>
      <c r="I15" s="167">
        <v>2000</v>
      </c>
      <c r="J15" s="167">
        <v>2000</v>
      </c>
      <c r="K15" s="167">
        <v>2000</v>
      </c>
      <c r="L15" s="167">
        <v>2000</v>
      </c>
      <c r="M15" s="167"/>
      <c r="N15" s="167"/>
      <c r="O15" s="167"/>
      <c r="P15" s="167"/>
      <c r="Q15" s="167"/>
      <c r="R15" s="167"/>
      <c r="S15" s="167">
        <f>SUM(G15:R15)</f>
        <v>32833</v>
      </c>
      <c r="T15" s="166" t="s">
        <v>177</v>
      </c>
      <c r="U15" s="176" t="s">
        <v>193</v>
      </c>
      <c r="V15" s="176"/>
      <c r="W15" s="148"/>
      <c r="X15" s="148"/>
      <c r="Y15" s="148"/>
      <c r="Z15" s="148"/>
      <c r="AA15" s="148"/>
      <c r="AB15" s="148"/>
      <c r="AC15" s="148"/>
      <c r="AD15" s="148"/>
      <c r="AE15" s="148"/>
      <c r="AF15" s="148"/>
      <c r="AG15" s="148"/>
      <c r="AH15" s="148"/>
      <c r="AI15" s="148"/>
      <c r="AJ15" s="148"/>
      <c r="AK15" s="148"/>
      <c r="AL15" s="148"/>
      <c r="AM15" s="148"/>
      <c r="AN15" s="148"/>
      <c r="AO15" s="148"/>
      <c r="AP15" s="148"/>
      <c r="AQ15" s="148"/>
      <c r="AR15" s="148"/>
      <c r="AS15" s="148"/>
      <c r="AT15" s="148"/>
      <c r="AU15" s="148"/>
      <c r="AV15" s="148"/>
      <c r="AW15" s="148"/>
      <c r="AX15" s="148"/>
      <c r="AY15" s="148"/>
      <c r="AZ15" s="148"/>
      <c r="BA15" s="148"/>
      <c r="BB15" s="148"/>
      <c r="BC15" s="148"/>
      <c r="BD15" s="148"/>
      <c r="BE15" s="148"/>
      <c r="BF15" s="148"/>
      <c r="BG15" s="148"/>
      <c r="BH15" s="148"/>
      <c r="BI15" s="148"/>
      <c r="BJ15" s="148"/>
      <c r="BK15" s="148"/>
      <c r="BL15" s="148"/>
      <c r="BM15" s="148"/>
      <c r="BN15" s="148"/>
      <c r="BO15" s="148"/>
    </row>
    <row r="16" spans="1:67" s="174" customFormat="1" ht="21" hidden="1" outlineLevel="1">
      <c r="A16" s="173"/>
      <c r="B16" s="162" t="s">
        <v>194</v>
      </c>
      <c r="C16" s="163"/>
      <c r="D16" s="163"/>
      <c r="E16" s="163"/>
      <c r="F16" s="163"/>
      <c r="G16" s="167"/>
      <c r="H16" s="167"/>
      <c r="I16" s="167"/>
      <c r="J16" s="167"/>
      <c r="K16" s="167"/>
      <c r="L16" s="167"/>
      <c r="M16" s="187">
        <v>2000</v>
      </c>
      <c r="N16" s="167">
        <v>36800</v>
      </c>
      <c r="O16" s="187">
        <v>1000</v>
      </c>
      <c r="P16" s="187">
        <v>1000</v>
      </c>
      <c r="Q16" s="187">
        <v>1000</v>
      </c>
      <c r="R16" s="167"/>
      <c r="S16" s="167">
        <f>SUM(G16:R16)</f>
        <v>41800</v>
      </c>
      <c r="T16" s="166" t="s">
        <v>177</v>
      </c>
      <c r="U16" s="176" t="s">
        <v>195</v>
      </c>
      <c r="V16" s="176"/>
      <c r="W16" s="148"/>
      <c r="X16" s="148"/>
      <c r="Y16" s="148"/>
      <c r="Z16" s="148"/>
      <c r="AA16" s="148"/>
      <c r="AB16" s="148"/>
      <c r="AC16" s="148"/>
      <c r="AD16" s="148"/>
      <c r="AE16" s="148"/>
      <c r="AF16" s="148"/>
      <c r="AG16" s="148"/>
      <c r="AH16" s="148"/>
      <c r="AI16" s="148"/>
      <c r="AJ16" s="148"/>
      <c r="AK16" s="148"/>
      <c r="AL16" s="148"/>
      <c r="AM16" s="148"/>
      <c r="AN16" s="148"/>
      <c r="AO16" s="148"/>
      <c r="AP16" s="148"/>
      <c r="AQ16" s="148"/>
      <c r="AR16" s="148"/>
      <c r="AS16" s="148"/>
      <c r="AT16" s="148"/>
      <c r="AU16" s="148"/>
      <c r="AV16" s="148"/>
      <c r="AW16" s="148"/>
      <c r="AX16" s="148"/>
      <c r="AY16" s="148"/>
      <c r="AZ16" s="148"/>
      <c r="BA16" s="148"/>
      <c r="BB16" s="148"/>
      <c r="BC16" s="148"/>
      <c r="BD16" s="148"/>
      <c r="BE16" s="148"/>
      <c r="BF16" s="148"/>
      <c r="BG16" s="148"/>
      <c r="BH16" s="148"/>
      <c r="BI16" s="148"/>
      <c r="BJ16" s="148"/>
      <c r="BK16" s="148"/>
      <c r="BL16" s="148"/>
      <c r="BM16" s="148"/>
      <c r="BN16" s="148"/>
      <c r="BO16" s="148"/>
    </row>
    <row r="17" spans="1:67" s="154" customFormat="1" ht="21" collapsed="1">
      <c r="B17" s="155" t="s">
        <v>144</v>
      </c>
      <c r="C17" s="156">
        <f t="shared" ref="C17:R17" si="11">SUM(C18:C18)</f>
        <v>56405</v>
      </c>
      <c r="D17" s="156">
        <f t="shared" si="11"/>
        <v>22253</v>
      </c>
      <c r="E17" s="156">
        <f t="shared" si="11"/>
        <v>0</v>
      </c>
      <c r="F17" s="156">
        <f t="shared" si="11"/>
        <v>0</v>
      </c>
      <c r="G17" s="157">
        <f t="shared" si="11"/>
        <v>0</v>
      </c>
      <c r="H17" s="157">
        <f t="shared" si="11"/>
        <v>20000</v>
      </c>
      <c r="I17" s="157">
        <f t="shared" si="11"/>
        <v>0</v>
      </c>
      <c r="J17" s="157">
        <f t="shared" si="11"/>
        <v>0</v>
      </c>
      <c r="K17" s="157">
        <f t="shared" si="11"/>
        <v>0</v>
      </c>
      <c r="L17" s="157">
        <f t="shared" si="11"/>
        <v>0</v>
      </c>
      <c r="M17" s="157">
        <f t="shared" si="11"/>
        <v>0</v>
      </c>
      <c r="N17" s="157">
        <f t="shared" si="11"/>
        <v>0</v>
      </c>
      <c r="O17" s="157">
        <f t="shared" si="11"/>
        <v>0</v>
      </c>
      <c r="P17" s="157">
        <f t="shared" si="11"/>
        <v>0</v>
      </c>
      <c r="Q17" s="157">
        <f t="shared" si="11"/>
        <v>0</v>
      </c>
      <c r="R17" s="157">
        <f t="shared" si="11"/>
        <v>0</v>
      </c>
      <c r="S17" s="158">
        <f>SUM(G17:R17)</f>
        <v>20000</v>
      </c>
      <c r="T17" s="159" t="s">
        <v>175</v>
      </c>
      <c r="U17" s="160"/>
      <c r="V17" s="160"/>
      <c r="W17" s="148"/>
      <c r="X17" s="148"/>
      <c r="Y17" s="148"/>
      <c r="Z17" s="148"/>
      <c r="AA17" s="148"/>
      <c r="AB17" s="148"/>
      <c r="AC17" s="148"/>
      <c r="AD17" s="148"/>
      <c r="AE17" s="148"/>
      <c r="AF17" s="148"/>
      <c r="AG17" s="148"/>
      <c r="AH17" s="148"/>
      <c r="AI17" s="148"/>
      <c r="AJ17" s="148"/>
      <c r="AK17" s="148"/>
      <c r="AL17" s="148"/>
      <c r="AM17" s="148"/>
      <c r="AN17" s="148"/>
      <c r="AO17" s="148"/>
      <c r="AP17" s="148"/>
      <c r="AQ17" s="148"/>
      <c r="AR17" s="148"/>
      <c r="AS17" s="148"/>
      <c r="AT17" s="148"/>
      <c r="AU17" s="148"/>
      <c r="AV17" s="148"/>
      <c r="AW17" s="148"/>
      <c r="AX17" s="148"/>
      <c r="AY17" s="148"/>
      <c r="AZ17" s="148"/>
      <c r="BA17" s="148"/>
      <c r="BB17" s="148"/>
      <c r="BC17" s="148"/>
      <c r="BD17" s="148"/>
      <c r="BE17" s="148"/>
      <c r="BF17" s="148"/>
      <c r="BG17" s="148"/>
      <c r="BH17" s="148"/>
      <c r="BI17" s="148"/>
      <c r="BJ17" s="148"/>
      <c r="BK17" s="148"/>
      <c r="BL17" s="148"/>
      <c r="BM17" s="148"/>
      <c r="BN17" s="148"/>
      <c r="BO17" s="148"/>
    </row>
    <row r="18" spans="1:67" s="174" customFormat="1" ht="21" hidden="1" outlineLevel="1">
      <c r="A18" s="173"/>
      <c r="B18" s="189" t="s">
        <v>196</v>
      </c>
      <c r="C18" s="190">
        <v>56405</v>
      </c>
      <c r="D18" s="177">
        <v>22253</v>
      </c>
      <c r="E18" s="163">
        <v>0</v>
      </c>
      <c r="F18" s="163">
        <v>0</v>
      </c>
      <c r="G18" s="167"/>
      <c r="H18" s="167">
        <v>20000</v>
      </c>
      <c r="I18" s="167"/>
      <c r="J18" s="167"/>
      <c r="K18" s="167"/>
      <c r="L18" s="167"/>
      <c r="M18" s="167"/>
      <c r="N18" s="167"/>
      <c r="O18" s="167"/>
      <c r="P18" s="167"/>
      <c r="Q18" s="167"/>
      <c r="R18" s="167"/>
      <c r="S18" s="175">
        <f>SUM(G18:R18)</f>
        <v>20000</v>
      </c>
      <c r="T18" s="172" t="s">
        <v>197</v>
      </c>
      <c r="U18" s="176" t="s">
        <v>198</v>
      </c>
      <c r="V18" s="176"/>
      <c r="W18" s="148"/>
      <c r="X18" s="148"/>
      <c r="Y18" s="148"/>
      <c r="Z18" s="148"/>
      <c r="AA18" s="148"/>
      <c r="AB18" s="148"/>
      <c r="AC18" s="148"/>
      <c r="AD18" s="148"/>
      <c r="AE18" s="148"/>
      <c r="AF18" s="148"/>
      <c r="AG18" s="148"/>
      <c r="AH18" s="148"/>
      <c r="AI18" s="148"/>
      <c r="AJ18" s="148"/>
      <c r="AK18" s="148"/>
      <c r="AL18" s="148"/>
      <c r="AM18" s="148"/>
      <c r="AN18" s="148"/>
      <c r="AO18" s="148"/>
      <c r="AP18" s="148"/>
      <c r="AQ18" s="148"/>
      <c r="AR18" s="148"/>
      <c r="AS18" s="148"/>
      <c r="AT18" s="148"/>
      <c r="AU18" s="148"/>
      <c r="AV18" s="148"/>
      <c r="AW18" s="148"/>
      <c r="AX18" s="148"/>
      <c r="AY18" s="148"/>
      <c r="AZ18" s="148"/>
      <c r="BA18" s="148"/>
      <c r="BB18" s="148"/>
      <c r="BC18" s="148"/>
      <c r="BD18" s="148"/>
      <c r="BE18" s="148"/>
      <c r="BF18" s="148"/>
      <c r="BG18" s="148"/>
      <c r="BH18" s="148"/>
      <c r="BI18" s="148"/>
      <c r="BJ18" s="148"/>
      <c r="BK18" s="148"/>
      <c r="BL18" s="148"/>
      <c r="BM18" s="148"/>
      <c r="BN18" s="148"/>
      <c r="BO18" s="148"/>
    </row>
    <row r="19" spans="1:67" s="154" customFormat="1" ht="21" collapsed="1">
      <c r="B19" s="191" t="s">
        <v>143</v>
      </c>
      <c r="C19" s="192">
        <f>SUM(C20:C24)</f>
        <v>613938</v>
      </c>
      <c r="D19" s="192">
        <f t="shared" ref="D19:F19" si="12">SUM(D20:D24)</f>
        <v>373256</v>
      </c>
      <c r="E19" s="192">
        <f t="shared" si="12"/>
        <v>41750</v>
      </c>
      <c r="F19" s="192">
        <f t="shared" si="12"/>
        <v>41750</v>
      </c>
      <c r="G19" s="157">
        <f>SUM(G20:G24)</f>
        <v>12833.333333333334</v>
      </c>
      <c r="H19" s="157">
        <f t="shared" ref="H19:R19" si="13">SUM(H20:H24)</f>
        <v>12833.333333333334</v>
      </c>
      <c r="I19" s="157">
        <f t="shared" si="13"/>
        <v>12833.333333333334</v>
      </c>
      <c r="J19" s="157">
        <f t="shared" si="13"/>
        <v>12833.333333333334</v>
      </c>
      <c r="K19" s="157">
        <f t="shared" si="13"/>
        <v>12833.333333333334</v>
      </c>
      <c r="L19" s="157">
        <f t="shared" si="13"/>
        <v>14333.333333333334</v>
      </c>
      <c r="M19" s="157">
        <f t="shared" si="13"/>
        <v>14333.333333333334</v>
      </c>
      <c r="N19" s="157">
        <f t="shared" si="13"/>
        <v>14333.333333333334</v>
      </c>
      <c r="O19" s="157">
        <f t="shared" si="13"/>
        <v>14333.333333333334</v>
      </c>
      <c r="P19" s="157">
        <f t="shared" si="13"/>
        <v>14333.333333333334</v>
      </c>
      <c r="Q19" s="157">
        <f t="shared" si="13"/>
        <v>14333.333333333334</v>
      </c>
      <c r="R19" s="157">
        <f t="shared" si="13"/>
        <v>14333.333333333334</v>
      </c>
      <c r="S19" s="193">
        <f>SUM(G19:R19)</f>
        <v>164500</v>
      </c>
      <c r="T19" s="194" t="s">
        <v>175</v>
      </c>
      <c r="U19" s="160"/>
      <c r="V19" s="160"/>
      <c r="W19" s="148"/>
      <c r="X19" s="148"/>
      <c r="Y19" s="148"/>
      <c r="Z19" s="148"/>
      <c r="AA19" s="148"/>
      <c r="AB19" s="148"/>
      <c r="AC19" s="148"/>
      <c r="AD19" s="148"/>
      <c r="AE19" s="148"/>
      <c r="AF19" s="148"/>
      <c r="AG19" s="148"/>
      <c r="AH19" s="148"/>
      <c r="AI19" s="148"/>
      <c r="AJ19" s="148"/>
      <c r="AK19" s="148"/>
      <c r="AL19" s="148"/>
      <c r="AM19" s="148"/>
      <c r="AN19" s="148"/>
      <c r="AO19" s="148"/>
      <c r="AP19" s="148"/>
      <c r="AQ19" s="148"/>
      <c r="AR19" s="148"/>
      <c r="AS19" s="148"/>
      <c r="AT19" s="148"/>
      <c r="AU19" s="148"/>
      <c r="AV19" s="148"/>
      <c r="AW19" s="148"/>
      <c r="AX19" s="148"/>
      <c r="AY19" s="148"/>
      <c r="AZ19" s="148"/>
      <c r="BA19" s="148"/>
      <c r="BB19" s="148"/>
      <c r="BC19" s="148"/>
      <c r="BD19" s="148"/>
      <c r="BE19" s="148"/>
      <c r="BF19" s="148"/>
      <c r="BG19" s="148"/>
      <c r="BH19" s="148"/>
      <c r="BI19" s="148"/>
      <c r="BJ19" s="148"/>
      <c r="BK19" s="148"/>
      <c r="BL19" s="148"/>
      <c r="BM19" s="148"/>
      <c r="BN19" s="148"/>
      <c r="BO19" s="148"/>
    </row>
    <row r="20" spans="1:67" s="199" customFormat="1" ht="21" hidden="1" outlineLevel="1">
      <c r="A20" s="195"/>
      <c r="B20" s="196" t="s">
        <v>199</v>
      </c>
      <c r="C20" s="163">
        <v>200000</v>
      </c>
      <c r="D20" s="163">
        <v>5412</v>
      </c>
      <c r="E20" s="163">
        <v>20000</v>
      </c>
      <c r="F20" s="163">
        <v>20000</v>
      </c>
      <c r="G20" s="167">
        <f>154000/48</f>
        <v>3208.3333333333335</v>
      </c>
      <c r="H20" s="167">
        <f t="shared" ref="H20:R20" si="14">154000/48</f>
        <v>3208.3333333333335</v>
      </c>
      <c r="I20" s="167">
        <f t="shared" si="14"/>
        <v>3208.3333333333335</v>
      </c>
      <c r="J20" s="167">
        <f t="shared" si="14"/>
        <v>3208.3333333333335</v>
      </c>
      <c r="K20" s="167">
        <f t="shared" si="14"/>
        <v>3208.3333333333335</v>
      </c>
      <c r="L20" s="167">
        <f t="shared" si="14"/>
        <v>3208.3333333333335</v>
      </c>
      <c r="M20" s="167">
        <f t="shared" si="14"/>
        <v>3208.3333333333335</v>
      </c>
      <c r="N20" s="167">
        <f t="shared" si="14"/>
        <v>3208.3333333333335</v>
      </c>
      <c r="O20" s="167">
        <f t="shared" si="14"/>
        <v>3208.3333333333335</v>
      </c>
      <c r="P20" s="167">
        <f t="shared" si="14"/>
        <v>3208.3333333333335</v>
      </c>
      <c r="Q20" s="167">
        <f>154000/48</f>
        <v>3208.3333333333335</v>
      </c>
      <c r="R20" s="167">
        <f t="shared" si="14"/>
        <v>3208.3333333333335</v>
      </c>
      <c r="S20" s="197">
        <f t="shared" ref="S20:S23" si="15">SUM(G20:R20)</f>
        <v>38500</v>
      </c>
      <c r="T20" s="198" t="s">
        <v>180</v>
      </c>
      <c r="U20" s="167" t="s">
        <v>200</v>
      </c>
      <c r="V20" s="176"/>
      <c r="W20" s="148"/>
      <c r="X20" s="148"/>
      <c r="Y20" s="148"/>
      <c r="Z20" s="148"/>
      <c r="AA20" s="148"/>
      <c r="AB20" s="148"/>
      <c r="AC20" s="148"/>
      <c r="AD20" s="148"/>
      <c r="AE20" s="148"/>
      <c r="AF20" s="148"/>
      <c r="AG20" s="148"/>
      <c r="AH20" s="148"/>
      <c r="AI20" s="148"/>
      <c r="AJ20" s="148"/>
      <c r="AK20" s="148"/>
      <c r="AL20" s="148"/>
      <c r="AM20" s="148"/>
      <c r="AN20" s="148"/>
      <c r="AO20" s="148"/>
      <c r="AP20" s="148"/>
      <c r="AQ20" s="148"/>
      <c r="AR20" s="148"/>
      <c r="AS20" s="148"/>
      <c r="AT20" s="148"/>
      <c r="AU20" s="148"/>
      <c r="AV20" s="148"/>
      <c r="AW20" s="148"/>
      <c r="AX20" s="148"/>
      <c r="AY20" s="148"/>
      <c r="AZ20" s="148"/>
      <c r="BA20" s="148"/>
      <c r="BB20" s="148"/>
      <c r="BC20" s="148"/>
      <c r="BD20" s="148"/>
      <c r="BE20" s="148"/>
      <c r="BF20" s="148"/>
      <c r="BG20" s="148"/>
      <c r="BH20" s="148"/>
      <c r="BI20" s="148"/>
      <c r="BJ20" s="148"/>
      <c r="BK20" s="148"/>
      <c r="BL20" s="148"/>
      <c r="BM20" s="148"/>
      <c r="BN20" s="148"/>
      <c r="BO20" s="148"/>
    </row>
    <row r="21" spans="1:67" s="199" customFormat="1" ht="21" hidden="1" outlineLevel="1">
      <c r="A21" s="195"/>
      <c r="B21" s="196" t="s">
        <v>201</v>
      </c>
      <c r="C21" s="163">
        <v>217500</v>
      </c>
      <c r="D21" s="163">
        <v>217500</v>
      </c>
      <c r="E21" s="163">
        <v>21750</v>
      </c>
      <c r="F21" s="163">
        <v>21750</v>
      </c>
      <c r="G21" s="167">
        <f t="shared" ref="G21:R23" si="16">154000/48</f>
        <v>3208.3333333333335</v>
      </c>
      <c r="H21" s="167">
        <f t="shared" si="16"/>
        <v>3208.3333333333335</v>
      </c>
      <c r="I21" s="167">
        <f t="shared" si="16"/>
        <v>3208.3333333333335</v>
      </c>
      <c r="J21" s="167">
        <f t="shared" si="16"/>
        <v>3208.3333333333335</v>
      </c>
      <c r="K21" s="167">
        <f t="shared" si="16"/>
        <v>3208.3333333333335</v>
      </c>
      <c r="L21" s="167">
        <f t="shared" si="16"/>
        <v>3208.3333333333335</v>
      </c>
      <c r="M21" s="167">
        <f t="shared" si="16"/>
        <v>3208.3333333333335</v>
      </c>
      <c r="N21" s="167">
        <f t="shared" si="16"/>
        <v>3208.3333333333335</v>
      </c>
      <c r="O21" s="167">
        <f t="shared" si="16"/>
        <v>3208.3333333333335</v>
      </c>
      <c r="P21" s="167">
        <f t="shared" si="16"/>
        <v>3208.3333333333335</v>
      </c>
      <c r="Q21" s="167">
        <f t="shared" si="16"/>
        <v>3208.3333333333335</v>
      </c>
      <c r="R21" s="167">
        <f t="shared" si="16"/>
        <v>3208.3333333333335</v>
      </c>
      <c r="S21" s="197">
        <f t="shared" si="15"/>
        <v>38500</v>
      </c>
      <c r="T21" s="198" t="s">
        <v>180</v>
      </c>
      <c r="U21" s="167" t="s">
        <v>200</v>
      </c>
      <c r="V21" s="176"/>
      <c r="W21" s="148"/>
      <c r="X21" s="148"/>
      <c r="Y21" s="148"/>
      <c r="Z21" s="148"/>
      <c r="AA21" s="148"/>
      <c r="AB21" s="148"/>
      <c r="AC21" s="148"/>
      <c r="AD21" s="148"/>
      <c r="AE21" s="148"/>
      <c r="AF21" s="148"/>
      <c r="AG21" s="148"/>
      <c r="AH21" s="148"/>
      <c r="AI21" s="148"/>
      <c r="AJ21" s="148"/>
      <c r="AK21" s="148"/>
      <c r="AL21" s="148"/>
      <c r="AM21" s="148"/>
      <c r="AN21" s="148"/>
      <c r="AO21" s="148"/>
      <c r="AP21" s="148"/>
      <c r="AQ21" s="148"/>
      <c r="AR21" s="148"/>
      <c r="AS21" s="148"/>
      <c r="AT21" s="148"/>
      <c r="AU21" s="148"/>
      <c r="AV21" s="148"/>
      <c r="AW21" s="148"/>
      <c r="AX21" s="148"/>
      <c r="AY21" s="148"/>
      <c r="AZ21" s="148"/>
      <c r="BA21" s="148"/>
      <c r="BB21" s="148"/>
      <c r="BC21" s="148"/>
      <c r="BD21" s="148"/>
      <c r="BE21" s="148"/>
      <c r="BF21" s="148"/>
      <c r="BG21" s="148"/>
      <c r="BH21" s="148"/>
      <c r="BI21" s="148"/>
      <c r="BJ21" s="148"/>
      <c r="BK21" s="148"/>
      <c r="BL21" s="148"/>
      <c r="BM21" s="148"/>
      <c r="BN21" s="148"/>
      <c r="BO21" s="148"/>
    </row>
    <row r="22" spans="1:67" s="199" customFormat="1" ht="21" hidden="1" outlineLevel="1">
      <c r="A22" s="195"/>
      <c r="B22" s="196" t="s">
        <v>202</v>
      </c>
      <c r="C22" s="163">
        <v>98000</v>
      </c>
      <c r="D22" s="163">
        <v>51906</v>
      </c>
      <c r="E22" s="163">
        <v>0</v>
      </c>
      <c r="F22" s="163">
        <v>0</v>
      </c>
      <c r="G22" s="167">
        <f t="shared" si="16"/>
        <v>3208.3333333333335</v>
      </c>
      <c r="H22" s="167">
        <f t="shared" si="16"/>
        <v>3208.3333333333335</v>
      </c>
      <c r="I22" s="167">
        <f t="shared" si="16"/>
        <v>3208.3333333333335</v>
      </c>
      <c r="J22" s="167">
        <f t="shared" si="16"/>
        <v>3208.3333333333335</v>
      </c>
      <c r="K22" s="167">
        <f t="shared" si="16"/>
        <v>3208.3333333333335</v>
      </c>
      <c r="L22" s="167">
        <f t="shared" si="16"/>
        <v>3208.3333333333335</v>
      </c>
      <c r="M22" s="167">
        <f t="shared" si="16"/>
        <v>3208.3333333333335</v>
      </c>
      <c r="N22" s="167">
        <f t="shared" si="16"/>
        <v>3208.3333333333335</v>
      </c>
      <c r="O22" s="167">
        <f t="shared" si="16"/>
        <v>3208.3333333333335</v>
      </c>
      <c r="P22" s="167">
        <f t="shared" si="16"/>
        <v>3208.3333333333335</v>
      </c>
      <c r="Q22" s="167">
        <f t="shared" si="16"/>
        <v>3208.3333333333335</v>
      </c>
      <c r="R22" s="167">
        <f t="shared" si="16"/>
        <v>3208.3333333333335</v>
      </c>
      <c r="S22" s="197">
        <f t="shared" si="15"/>
        <v>38500</v>
      </c>
      <c r="T22" s="198" t="s">
        <v>180</v>
      </c>
      <c r="U22" s="167" t="s">
        <v>200</v>
      </c>
      <c r="V22" s="176"/>
      <c r="W22" s="148"/>
      <c r="X22" s="148"/>
      <c r="Y22" s="148"/>
      <c r="Z22" s="148"/>
      <c r="AA22" s="148"/>
      <c r="AB22" s="148"/>
      <c r="AC22" s="148"/>
      <c r="AD22" s="148"/>
      <c r="AE22" s="148"/>
      <c r="AF22" s="148"/>
      <c r="AG22" s="148"/>
      <c r="AH22" s="148"/>
      <c r="AI22" s="148"/>
      <c r="AJ22" s="148"/>
      <c r="AK22" s="148"/>
      <c r="AL22" s="148"/>
      <c r="AM22" s="148"/>
      <c r="AN22" s="148"/>
      <c r="AO22" s="148"/>
      <c r="AP22" s="148"/>
      <c r="AQ22" s="148"/>
      <c r="AR22" s="148"/>
      <c r="AS22" s="148"/>
      <c r="AT22" s="148"/>
      <c r="AU22" s="148"/>
      <c r="AV22" s="148"/>
      <c r="AW22" s="148"/>
      <c r="AX22" s="148"/>
      <c r="AY22" s="148"/>
      <c r="AZ22" s="148"/>
      <c r="BA22" s="148"/>
      <c r="BB22" s="148"/>
      <c r="BC22" s="148"/>
      <c r="BD22" s="148"/>
      <c r="BE22" s="148"/>
      <c r="BF22" s="148"/>
      <c r="BG22" s="148"/>
      <c r="BH22" s="148"/>
      <c r="BI22" s="148"/>
      <c r="BJ22" s="148"/>
      <c r="BK22" s="148"/>
      <c r="BL22" s="148"/>
      <c r="BM22" s="148"/>
      <c r="BN22" s="148"/>
      <c r="BO22" s="148"/>
    </row>
    <row r="23" spans="1:67" s="174" customFormat="1" ht="21" hidden="1" outlineLevel="1">
      <c r="A23" s="173"/>
      <c r="B23" s="196" t="s">
        <v>203</v>
      </c>
      <c r="C23" s="163">
        <v>49939</v>
      </c>
      <c r="D23" s="163">
        <v>49939</v>
      </c>
      <c r="E23" s="163">
        <v>0</v>
      </c>
      <c r="F23" s="163">
        <v>0</v>
      </c>
      <c r="G23" s="167">
        <f t="shared" si="16"/>
        <v>3208.3333333333335</v>
      </c>
      <c r="H23" s="167">
        <f t="shared" si="16"/>
        <v>3208.3333333333335</v>
      </c>
      <c r="I23" s="167">
        <f t="shared" si="16"/>
        <v>3208.3333333333335</v>
      </c>
      <c r="J23" s="167">
        <f t="shared" si="16"/>
        <v>3208.3333333333335</v>
      </c>
      <c r="K23" s="167">
        <f t="shared" si="16"/>
        <v>3208.3333333333335</v>
      </c>
      <c r="L23" s="167">
        <f t="shared" si="16"/>
        <v>3208.3333333333335</v>
      </c>
      <c r="M23" s="167">
        <f t="shared" si="16"/>
        <v>3208.3333333333335</v>
      </c>
      <c r="N23" s="167">
        <f t="shared" si="16"/>
        <v>3208.3333333333335</v>
      </c>
      <c r="O23" s="167">
        <f t="shared" si="16"/>
        <v>3208.3333333333335</v>
      </c>
      <c r="P23" s="167">
        <f t="shared" si="16"/>
        <v>3208.3333333333335</v>
      </c>
      <c r="Q23" s="167">
        <f t="shared" si="16"/>
        <v>3208.3333333333335</v>
      </c>
      <c r="R23" s="167">
        <f t="shared" si="16"/>
        <v>3208.3333333333335</v>
      </c>
      <c r="S23" s="197">
        <f t="shared" si="15"/>
        <v>38500</v>
      </c>
      <c r="T23" s="198" t="s">
        <v>180</v>
      </c>
      <c r="U23" s="167" t="s">
        <v>200</v>
      </c>
      <c r="V23" s="176"/>
      <c r="W23" s="148"/>
      <c r="X23" s="148"/>
      <c r="Y23" s="148"/>
      <c r="Z23" s="148"/>
      <c r="AA23" s="148"/>
      <c r="AB23" s="148"/>
      <c r="AC23" s="148"/>
      <c r="AD23" s="148"/>
      <c r="AE23" s="148"/>
      <c r="AF23" s="148"/>
      <c r="AG23" s="148"/>
      <c r="AH23" s="148"/>
      <c r="AI23" s="148"/>
      <c r="AJ23" s="148"/>
      <c r="AK23" s="148"/>
      <c r="AL23" s="148"/>
      <c r="AM23" s="148"/>
      <c r="AN23" s="148"/>
      <c r="AO23" s="148"/>
      <c r="AP23" s="148"/>
      <c r="AQ23" s="148"/>
      <c r="AR23" s="148"/>
      <c r="AS23" s="148"/>
      <c r="AT23" s="148"/>
      <c r="AU23" s="148"/>
      <c r="AV23" s="148"/>
      <c r="AW23" s="148"/>
      <c r="AX23" s="148"/>
      <c r="AY23" s="148"/>
      <c r="AZ23" s="148"/>
      <c r="BA23" s="148"/>
      <c r="BB23" s="148"/>
      <c r="BC23" s="148"/>
      <c r="BD23" s="148"/>
      <c r="BE23" s="148"/>
      <c r="BF23" s="148"/>
      <c r="BG23" s="148"/>
      <c r="BH23" s="148"/>
      <c r="BI23" s="148"/>
      <c r="BJ23" s="148"/>
      <c r="BK23" s="148"/>
      <c r="BL23" s="148"/>
      <c r="BM23" s="148"/>
      <c r="BN23" s="148"/>
      <c r="BO23" s="148"/>
    </row>
    <row r="24" spans="1:67" s="174" customFormat="1" ht="21" hidden="1" outlineLevel="1">
      <c r="A24" s="173"/>
      <c r="B24" s="196" t="s">
        <v>204</v>
      </c>
      <c r="C24" s="163">
        <v>48499</v>
      </c>
      <c r="D24" s="163">
        <v>48499</v>
      </c>
      <c r="E24" s="163">
        <v>0</v>
      </c>
      <c r="F24" s="163">
        <v>0</v>
      </c>
      <c r="G24" s="167"/>
      <c r="H24" s="167"/>
      <c r="I24" s="167"/>
      <c r="J24" s="167"/>
      <c r="K24" s="167"/>
      <c r="L24" s="167">
        <v>1500</v>
      </c>
      <c r="M24" s="167">
        <v>1500</v>
      </c>
      <c r="N24" s="167">
        <v>1500</v>
      </c>
      <c r="O24" s="167">
        <v>1500</v>
      </c>
      <c r="P24" s="167">
        <v>1500</v>
      </c>
      <c r="Q24" s="167">
        <v>1500</v>
      </c>
      <c r="R24" s="167">
        <v>1500</v>
      </c>
      <c r="S24" s="197">
        <f>SUM(G24:R24)</f>
        <v>10500</v>
      </c>
      <c r="T24" s="198" t="s">
        <v>180</v>
      </c>
      <c r="U24" s="167" t="s">
        <v>205</v>
      </c>
      <c r="V24" s="176"/>
      <c r="W24" s="148"/>
      <c r="X24" s="148"/>
      <c r="Y24" s="148"/>
      <c r="Z24" s="148"/>
      <c r="AA24" s="148"/>
      <c r="AB24" s="148"/>
      <c r="AC24" s="148"/>
      <c r="AD24" s="148"/>
      <c r="AE24" s="148"/>
      <c r="AF24" s="148"/>
      <c r="AG24" s="148"/>
      <c r="AH24" s="148"/>
      <c r="AI24" s="148"/>
      <c r="AJ24" s="148"/>
      <c r="AK24" s="148"/>
      <c r="AL24" s="148"/>
      <c r="AM24" s="148"/>
      <c r="AN24" s="148"/>
      <c r="AO24" s="148"/>
      <c r="AP24" s="148"/>
      <c r="AQ24" s="148"/>
      <c r="AR24" s="148"/>
      <c r="AS24" s="148"/>
      <c r="AT24" s="148"/>
      <c r="AU24" s="148"/>
      <c r="AV24" s="148"/>
      <c r="AW24" s="148"/>
      <c r="AX24" s="148"/>
      <c r="AY24" s="148"/>
      <c r="AZ24" s="148"/>
      <c r="BA24" s="148"/>
      <c r="BB24" s="148"/>
      <c r="BC24" s="148"/>
      <c r="BD24" s="148"/>
      <c r="BE24" s="148"/>
      <c r="BF24" s="148"/>
      <c r="BG24" s="148"/>
      <c r="BH24" s="148"/>
      <c r="BI24" s="148"/>
      <c r="BJ24" s="148"/>
      <c r="BK24" s="148"/>
      <c r="BL24" s="148"/>
      <c r="BM24" s="148"/>
      <c r="BN24" s="148"/>
      <c r="BO24" s="148"/>
    </row>
    <row r="25" spans="1:67" s="201" customFormat="1" ht="7.05" customHeight="1">
      <c r="A25" s="200"/>
      <c r="S25" s="202"/>
      <c r="T25" s="203"/>
      <c r="W25" s="204"/>
      <c r="X25" s="204"/>
      <c r="Y25" s="204"/>
      <c r="Z25" s="204"/>
      <c r="AA25" s="204"/>
      <c r="AB25" s="204"/>
      <c r="AC25" s="204"/>
      <c r="AD25" s="204"/>
      <c r="AE25" s="204"/>
      <c r="AF25" s="204"/>
      <c r="AG25" s="204"/>
      <c r="AH25" s="204"/>
      <c r="AI25" s="204"/>
      <c r="AJ25" s="204"/>
      <c r="AK25" s="204"/>
      <c r="AL25" s="204"/>
      <c r="AM25" s="204"/>
      <c r="AN25" s="204"/>
      <c r="AO25" s="204"/>
      <c r="AP25" s="204"/>
      <c r="AQ25" s="204"/>
      <c r="AR25" s="204"/>
      <c r="AS25" s="204"/>
      <c r="AT25" s="204"/>
      <c r="AU25" s="204"/>
      <c r="AV25" s="204"/>
      <c r="AW25" s="204"/>
      <c r="AX25" s="204"/>
      <c r="AY25" s="204"/>
      <c r="AZ25" s="204"/>
      <c r="BA25" s="204"/>
      <c r="BB25" s="204"/>
      <c r="BC25" s="204"/>
      <c r="BD25" s="204"/>
      <c r="BE25" s="204"/>
      <c r="BF25" s="204"/>
      <c r="BG25" s="204"/>
      <c r="BH25" s="204"/>
      <c r="BI25" s="204"/>
      <c r="BJ25" s="204"/>
      <c r="BK25" s="204"/>
      <c r="BL25" s="204"/>
      <c r="BM25" s="204"/>
      <c r="BN25" s="204"/>
      <c r="BO25" s="204"/>
    </row>
    <row r="26" spans="1:67" s="153" customFormat="1" ht="21.6" thickBot="1">
      <c r="A26" s="149" t="s">
        <v>206</v>
      </c>
      <c r="B26" s="150"/>
      <c r="C26" s="150"/>
      <c r="D26" s="150"/>
      <c r="E26" s="150"/>
      <c r="F26" s="150"/>
      <c r="G26" s="151">
        <f t="shared" ref="G26:R26" si="17">G27+G33+G46+G48</f>
        <v>154120.83333333334</v>
      </c>
      <c r="H26" s="151">
        <f t="shared" si="17"/>
        <v>431570.83333333331</v>
      </c>
      <c r="I26" s="151">
        <f t="shared" si="17"/>
        <v>80345.833333333328</v>
      </c>
      <c r="J26" s="151">
        <f t="shared" si="17"/>
        <v>37045.833333333336</v>
      </c>
      <c r="K26" s="151">
        <f t="shared" si="17"/>
        <v>57045.833333333336</v>
      </c>
      <c r="L26" s="151">
        <f t="shared" si="17"/>
        <v>39295.833333333336</v>
      </c>
      <c r="M26" s="151">
        <f t="shared" si="17"/>
        <v>66128.833333333328</v>
      </c>
      <c r="N26" s="151">
        <f t="shared" si="17"/>
        <v>103128.83333333333</v>
      </c>
      <c r="O26" s="151">
        <f t="shared" si="17"/>
        <v>131203.83333333334</v>
      </c>
      <c r="P26" s="151">
        <f t="shared" si="17"/>
        <v>47703.833333333336</v>
      </c>
      <c r="Q26" s="151">
        <f t="shared" si="17"/>
        <v>38453.833333333336</v>
      </c>
      <c r="R26" s="151">
        <f t="shared" si="17"/>
        <v>236955.83333333334</v>
      </c>
      <c r="S26" s="151">
        <f>SUM(G26:R26)</f>
        <v>1423000</v>
      </c>
      <c r="T26" s="152"/>
      <c r="U26" s="149"/>
      <c r="W26" s="148"/>
      <c r="X26" s="148"/>
      <c r="Y26" s="148"/>
      <c r="Z26" s="148"/>
      <c r="AA26" s="148"/>
      <c r="AB26" s="148"/>
      <c r="AC26" s="148"/>
      <c r="AD26" s="148"/>
      <c r="AE26" s="148"/>
      <c r="AF26" s="148"/>
      <c r="AG26" s="148"/>
      <c r="AH26" s="148"/>
      <c r="AI26" s="148"/>
      <c r="AJ26" s="148"/>
      <c r="AK26" s="148"/>
      <c r="AL26" s="148"/>
      <c r="AM26" s="148"/>
      <c r="AN26" s="148"/>
      <c r="AO26" s="148"/>
      <c r="AP26" s="148"/>
      <c r="AQ26" s="148"/>
      <c r="AR26" s="148"/>
      <c r="AS26" s="148"/>
      <c r="AT26" s="148"/>
      <c r="AU26" s="148"/>
      <c r="AV26" s="148"/>
      <c r="AW26" s="148"/>
      <c r="AX26" s="148"/>
      <c r="AY26" s="148"/>
      <c r="AZ26" s="148"/>
      <c r="BA26" s="148"/>
      <c r="BB26" s="148"/>
      <c r="BC26" s="148"/>
      <c r="BD26" s="148"/>
      <c r="BE26" s="148"/>
      <c r="BF26" s="148"/>
      <c r="BG26" s="148"/>
      <c r="BH26" s="148"/>
      <c r="BI26" s="148"/>
      <c r="BJ26" s="148"/>
      <c r="BK26" s="148"/>
      <c r="BL26" s="148"/>
      <c r="BM26" s="148"/>
      <c r="BN26" s="148"/>
      <c r="BO26" s="148"/>
    </row>
    <row r="27" spans="1:67" s="205" customFormat="1" ht="21" collapsed="1">
      <c r="B27" s="206" t="s">
        <v>207</v>
      </c>
      <c r="C27" s="207"/>
      <c r="D27" s="207"/>
      <c r="E27" s="207"/>
      <c r="F27" s="207"/>
      <c r="G27" s="158">
        <f>SUM(G28:G32)</f>
        <v>7950</v>
      </c>
      <c r="H27" s="158">
        <f t="shared" ref="H27:R27" si="18">SUM(H28:H32)</f>
        <v>8150</v>
      </c>
      <c r="I27" s="158">
        <f t="shared" si="18"/>
        <v>16750</v>
      </c>
      <c r="J27" s="158">
        <f t="shared" si="18"/>
        <v>10450</v>
      </c>
      <c r="K27" s="158">
        <f t="shared" si="18"/>
        <v>11450</v>
      </c>
      <c r="L27" s="158">
        <f t="shared" si="18"/>
        <v>11450</v>
      </c>
      <c r="M27" s="158">
        <f t="shared" si="18"/>
        <v>20283</v>
      </c>
      <c r="N27" s="158">
        <f t="shared" si="18"/>
        <v>40283</v>
      </c>
      <c r="O27" s="158">
        <f t="shared" si="18"/>
        <v>87283</v>
      </c>
      <c r="P27" s="158">
        <f t="shared" si="18"/>
        <v>14283</v>
      </c>
      <c r="Q27" s="158">
        <f t="shared" si="18"/>
        <v>14283</v>
      </c>
      <c r="R27" s="158">
        <f t="shared" si="18"/>
        <v>14285</v>
      </c>
      <c r="S27" s="158">
        <f>SUM(G27:R27)</f>
        <v>256900</v>
      </c>
      <c r="T27" s="159"/>
      <c r="U27" s="208"/>
      <c r="V27" s="208"/>
      <c r="W27" s="148"/>
      <c r="X27" s="148"/>
      <c r="Y27" s="148"/>
      <c r="Z27" s="148"/>
      <c r="AA27" s="148"/>
      <c r="AB27" s="148"/>
      <c r="AC27" s="148"/>
      <c r="AD27" s="148"/>
      <c r="AE27" s="148"/>
      <c r="AF27" s="148"/>
      <c r="AG27" s="148"/>
      <c r="AH27" s="148"/>
      <c r="AI27" s="148"/>
      <c r="AJ27" s="148"/>
      <c r="AK27" s="148"/>
      <c r="AL27" s="148"/>
      <c r="AM27" s="148"/>
      <c r="AN27" s="148"/>
      <c r="AO27" s="148"/>
      <c r="AP27" s="148"/>
      <c r="AQ27" s="148"/>
      <c r="AR27" s="148"/>
      <c r="AS27" s="148"/>
      <c r="AT27" s="148"/>
      <c r="AU27" s="148"/>
      <c r="AV27" s="148"/>
      <c r="AW27" s="148"/>
      <c r="AX27" s="148"/>
      <c r="AY27" s="148"/>
      <c r="AZ27" s="148"/>
      <c r="BA27" s="148"/>
      <c r="BB27" s="148"/>
      <c r="BC27" s="148"/>
      <c r="BD27" s="148"/>
      <c r="BE27" s="148"/>
      <c r="BF27" s="148"/>
      <c r="BG27" s="148"/>
      <c r="BH27" s="148"/>
      <c r="BI27" s="148"/>
      <c r="BJ27" s="148"/>
      <c r="BK27" s="148"/>
      <c r="BL27" s="148"/>
      <c r="BM27" s="148"/>
      <c r="BN27" s="148"/>
      <c r="BO27" s="148"/>
    </row>
    <row r="28" spans="1:67" s="199" customFormat="1" ht="21" hidden="1" outlineLevel="1">
      <c r="A28" s="209"/>
      <c r="B28" s="196" t="s">
        <v>208</v>
      </c>
      <c r="C28" s="163"/>
      <c r="D28" s="163"/>
      <c r="E28" s="163"/>
      <c r="F28" s="163"/>
      <c r="G28" s="167">
        <v>250</v>
      </c>
      <c r="H28" s="167">
        <v>250</v>
      </c>
      <c r="I28" s="167">
        <v>250</v>
      </c>
      <c r="J28" s="167">
        <v>250</v>
      </c>
      <c r="K28" s="167">
        <v>250</v>
      </c>
      <c r="L28" s="167">
        <v>250</v>
      </c>
      <c r="M28" s="167">
        <v>250</v>
      </c>
      <c r="N28" s="167">
        <v>250</v>
      </c>
      <c r="O28" s="167">
        <v>250</v>
      </c>
      <c r="P28" s="167">
        <v>250</v>
      </c>
      <c r="Q28" s="167">
        <v>250</v>
      </c>
      <c r="R28" s="167">
        <v>250</v>
      </c>
      <c r="S28" s="167">
        <f t="shared" ref="S28:S32" si="19">SUM(G28:R28)</f>
        <v>3000</v>
      </c>
      <c r="T28" s="166"/>
      <c r="U28" s="167" t="s">
        <v>209</v>
      </c>
      <c r="V28" s="167"/>
      <c r="W28" s="148"/>
      <c r="X28" s="148"/>
      <c r="Y28" s="148"/>
      <c r="Z28" s="148"/>
      <c r="AA28" s="148"/>
      <c r="AB28" s="148"/>
      <c r="AC28" s="148"/>
      <c r="AD28" s="148"/>
      <c r="AE28" s="148"/>
      <c r="AF28" s="148"/>
      <c r="AG28" s="148"/>
      <c r="AH28" s="148"/>
      <c r="AI28" s="148"/>
      <c r="AJ28" s="148"/>
      <c r="AK28" s="148"/>
      <c r="AL28" s="148"/>
      <c r="AM28" s="148"/>
      <c r="AN28" s="148"/>
      <c r="AO28" s="148"/>
      <c r="AP28" s="148"/>
      <c r="AQ28" s="148"/>
      <c r="AR28" s="148"/>
      <c r="AS28" s="148"/>
      <c r="AT28" s="148"/>
      <c r="AU28" s="148"/>
      <c r="AV28" s="148"/>
      <c r="AW28" s="148"/>
      <c r="AX28" s="148"/>
      <c r="AY28" s="148"/>
      <c r="AZ28" s="148"/>
      <c r="BA28" s="148"/>
      <c r="BB28" s="148"/>
      <c r="BC28" s="148"/>
      <c r="BD28" s="148"/>
      <c r="BE28" s="148"/>
      <c r="BF28" s="148"/>
      <c r="BG28" s="148"/>
      <c r="BH28" s="148"/>
      <c r="BI28" s="148"/>
      <c r="BJ28" s="148"/>
      <c r="BK28" s="148"/>
      <c r="BL28" s="148"/>
      <c r="BM28" s="148"/>
      <c r="BN28" s="148"/>
      <c r="BO28" s="148"/>
    </row>
    <row r="29" spans="1:67" s="199" customFormat="1" ht="21" hidden="1" outlineLevel="1">
      <c r="A29" s="209"/>
      <c r="B29" s="196" t="s">
        <v>210</v>
      </c>
      <c r="C29" s="163"/>
      <c r="D29" s="163"/>
      <c r="E29" s="163"/>
      <c r="F29" s="163"/>
      <c r="G29" s="167">
        <v>3700</v>
      </c>
      <c r="H29" s="167">
        <v>3700</v>
      </c>
      <c r="I29" s="167">
        <v>3700</v>
      </c>
      <c r="J29" s="167">
        <v>3700</v>
      </c>
      <c r="K29" s="167">
        <v>3700</v>
      </c>
      <c r="L29" s="167">
        <v>3700</v>
      </c>
      <c r="M29" s="167">
        <v>3700</v>
      </c>
      <c r="N29" s="167">
        <v>3700</v>
      </c>
      <c r="O29" s="167">
        <v>3700</v>
      </c>
      <c r="P29" s="167">
        <v>3700</v>
      </c>
      <c r="Q29" s="167">
        <v>3700</v>
      </c>
      <c r="R29" s="167">
        <v>3700</v>
      </c>
      <c r="S29" s="167">
        <f t="shared" si="19"/>
        <v>44400</v>
      </c>
      <c r="T29" s="166"/>
      <c r="U29" s="167"/>
      <c r="V29" s="167"/>
      <c r="W29" s="148"/>
      <c r="X29" s="148"/>
      <c r="Y29" s="148"/>
      <c r="Z29" s="148"/>
      <c r="AA29" s="148"/>
      <c r="AB29" s="148"/>
      <c r="AC29" s="148"/>
      <c r="AD29" s="148"/>
      <c r="AE29" s="148"/>
      <c r="AF29" s="148"/>
      <c r="AG29" s="148"/>
      <c r="AH29" s="148"/>
      <c r="AI29" s="148"/>
      <c r="AJ29" s="148"/>
      <c r="AK29" s="148"/>
      <c r="AL29" s="148"/>
      <c r="AM29" s="148"/>
      <c r="AN29" s="148"/>
      <c r="AO29" s="148"/>
      <c r="AP29" s="148"/>
      <c r="AQ29" s="148"/>
      <c r="AR29" s="148"/>
      <c r="AS29" s="148"/>
      <c r="AT29" s="148"/>
      <c r="AU29" s="148"/>
      <c r="AV29" s="148"/>
      <c r="AW29" s="148"/>
      <c r="AX29" s="148"/>
      <c r="AY29" s="148"/>
      <c r="AZ29" s="148"/>
      <c r="BA29" s="148"/>
      <c r="BB29" s="148"/>
      <c r="BC29" s="148"/>
      <c r="BD29" s="148"/>
      <c r="BE29" s="148"/>
      <c r="BF29" s="148"/>
      <c r="BG29" s="148"/>
      <c r="BH29" s="148"/>
      <c r="BI29" s="148"/>
      <c r="BJ29" s="148"/>
      <c r="BK29" s="148"/>
      <c r="BL29" s="148"/>
      <c r="BM29" s="148"/>
      <c r="BN29" s="148"/>
      <c r="BO29" s="148"/>
    </row>
    <row r="30" spans="1:67" s="199" customFormat="1" ht="21" hidden="1" outlineLevel="1">
      <c r="A30" s="209"/>
      <c r="B30" s="196" t="s">
        <v>211</v>
      </c>
      <c r="C30" s="163"/>
      <c r="D30" s="163"/>
      <c r="E30" s="163"/>
      <c r="F30" s="163"/>
      <c r="G30" s="167"/>
      <c r="H30" s="167"/>
      <c r="I30" s="167">
        <v>8000</v>
      </c>
      <c r="J30" s="167"/>
      <c r="K30" s="167"/>
      <c r="L30" s="167"/>
      <c r="M30" s="167">
        <v>4833</v>
      </c>
      <c r="N30" s="167">
        <v>4833</v>
      </c>
      <c r="O30" s="167">
        <v>4833</v>
      </c>
      <c r="P30" s="167">
        <v>4833</v>
      </c>
      <c r="Q30" s="167">
        <v>4833</v>
      </c>
      <c r="R30" s="167">
        <v>4835</v>
      </c>
      <c r="S30" s="167">
        <f t="shared" si="19"/>
        <v>37000</v>
      </c>
      <c r="T30" s="166"/>
      <c r="U30" s="167" t="s">
        <v>212</v>
      </c>
      <c r="V30" s="167"/>
      <c r="W30" s="148"/>
      <c r="X30" s="148"/>
      <c r="Y30" s="148"/>
      <c r="Z30" s="148"/>
      <c r="AA30" s="148"/>
      <c r="AB30" s="148"/>
      <c r="AC30" s="148"/>
      <c r="AD30" s="148"/>
      <c r="AE30" s="148"/>
      <c r="AF30" s="148"/>
      <c r="AG30" s="148"/>
      <c r="AH30" s="148"/>
      <c r="AI30" s="148"/>
      <c r="AJ30" s="148"/>
      <c r="AK30" s="148"/>
      <c r="AL30" s="148"/>
      <c r="AM30" s="148"/>
      <c r="AN30" s="148"/>
      <c r="AO30" s="148"/>
      <c r="AP30" s="148"/>
      <c r="AQ30" s="148"/>
      <c r="AR30" s="148"/>
      <c r="AS30" s="148"/>
      <c r="AT30" s="148"/>
      <c r="AU30" s="148"/>
      <c r="AV30" s="148"/>
      <c r="AW30" s="148"/>
      <c r="AX30" s="148"/>
      <c r="AY30" s="148"/>
      <c r="AZ30" s="148"/>
      <c r="BA30" s="148"/>
      <c r="BB30" s="148"/>
      <c r="BC30" s="148"/>
      <c r="BD30" s="148"/>
      <c r="BE30" s="148"/>
      <c r="BF30" s="148"/>
      <c r="BG30" s="148"/>
      <c r="BH30" s="148"/>
      <c r="BI30" s="148"/>
      <c r="BJ30" s="148"/>
      <c r="BK30" s="148"/>
      <c r="BL30" s="148"/>
      <c r="BM30" s="148"/>
      <c r="BN30" s="148"/>
      <c r="BO30" s="148"/>
    </row>
    <row r="31" spans="1:67" s="199" customFormat="1" ht="21" hidden="1" outlineLevel="1">
      <c r="A31" s="209"/>
      <c r="B31" s="196" t="s">
        <v>213</v>
      </c>
      <c r="C31" s="163"/>
      <c r="D31" s="163"/>
      <c r="E31" s="163"/>
      <c r="F31" s="163"/>
      <c r="G31" s="167"/>
      <c r="H31" s="167"/>
      <c r="I31" s="167"/>
      <c r="J31" s="167"/>
      <c r="K31" s="167"/>
      <c r="L31" s="167"/>
      <c r="M31" s="167">
        <v>4000</v>
      </c>
      <c r="N31" s="167">
        <v>24000</v>
      </c>
      <c r="O31" s="167">
        <v>72000</v>
      </c>
      <c r="P31" s="167"/>
      <c r="Q31" s="167"/>
      <c r="R31" s="167"/>
      <c r="S31" s="167">
        <f t="shared" si="19"/>
        <v>100000</v>
      </c>
      <c r="T31" s="166"/>
      <c r="U31" s="167"/>
      <c r="V31" s="167"/>
      <c r="W31" s="148"/>
      <c r="X31" s="148"/>
      <c r="Y31" s="148"/>
      <c r="Z31" s="148"/>
      <c r="AA31" s="148"/>
      <c r="AB31" s="148"/>
      <c r="AC31" s="148"/>
      <c r="AD31" s="148"/>
      <c r="AE31" s="148"/>
      <c r="AF31" s="148"/>
      <c r="AG31" s="148"/>
      <c r="AH31" s="148"/>
      <c r="AI31" s="148"/>
      <c r="AJ31" s="148"/>
      <c r="AK31" s="148"/>
      <c r="AL31" s="148"/>
      <c r="AM31" s="148"/>
      <c r="AN31" s="148"/>
      <c r="AO31" s="148"/>
      <c r="AP31" s="148"/>
      <c r="AQ31" s="148"/>
      <c r="AR31" s="148"/>
      <c r="AS31" s="148"/>
      <c r="AT31" s="148"/>
      <c r="AU31" s="148"/>
      <c r="AV31" s="148"/>
      <c r="AW31" s="148"/>
      <c r="AX31" s="148"/>
      <c r="AY31" s="148"/>
      <c r="AZ31" s="148"/>
      <c r="BA31" s="148"/>
      <c r="BB31" s="148"/>
      <c r="BC31" s="148"/>
      <c r="BD31" s="148"/>
      <c r="BE31" s="148"/>
      <c r="BF31" s="148"/>
      <c r="BG31" s="148"/>
      <c r="BH31" s="148"/>
      <c r="BI31" s="148"/>
      <c r="BJ31" s="148"/>
      <c r="BK31" s="148"/>
      <c r="BL31" s="148"/>
      <c r="BM31" s="148"/>
      <c r="BN31" s="148"/>
      <c r="BO31" s="148"/>
    </row>
    <row r="32" spans="1:67" s="199" customFormat="1" ht="21" hidden="1" outlineLevel="1">
      <c r="A32" s="209"/>
      <c r="B32" s="196" t="s">
        <v>214</v>
      </c>
      <c r="C32" s="163"/>
      <c r="D32" s="163"/>
      <c r="E32" s="163"/>
      <c r="F32" s="163"/>
      <c r="G32" s="178">
        <v>4000</v>
      </c>
      <c r="H32" s="178">
        <v>4200</v>
      </c>
      <c r="I32" s="178">
        <v>4800</v>
      </c>
      <c r="J32" s="178">
        <v>6500</v>
      </c>
      <c r="K32" s="178">
        <v>7500</v>
      </c>
      <c r="L32" s="178">
        <v>7500</v>
      </c>
      <c r="M32" s="178">
        <v>7500</v>
      </c>
      <c r="N32" s="178">
        <v>7500</v>
      </c>
      <c r="O32" s="178">
        <v>6500</v>
      </c>
      <c r="P32" s="178">
        <v>5500</v>
      </c>
      <c r="Q32" s="178">
        <v>5500</v>
      </c>
      <c r="R32" s="178">
        <v>5500</v>
      </c>
      <c r="S32" s="167">
        <f t="shared" si="19"/>
        <v>72500</v>
      </c>
      <c r="T32" s="166"/>
      <c r="U32" s="167" t="s">
        <v>263</v>
      </c>
      <c r="V32" s="167"/>
      <c r="W32" s="148"/>
      <c r="X32" s="148"/>
      <c r="Y32" s="148"/>
      <c r="Z32" s="148"/>
      <c r="AA32" s="148"/>
      <c r="AB32" s="148"/>
      <c r="AC32" s="148"/>
      <c r="AD32" s="148"/>
      <c r="AE32" s="148"/>
      <c r="AF32" s="148"/>
      <c r="AG32" s="148"/>
      <c r="AH32" s="148"/>
      <c r="AI32" s="148"/>
      <c r="AJ32" s="148"/>
      <c r="AK32" s="148"/>
      <c r="AL32" s="148"/>
      <c r="AM32" s="148"/>
      <c r="AN32" s="148"/>
      <c r="AO32" s="148"/>
      <c r="AP32" s="148"/>
      <c r="AQ32" s="148"/>
      <c r="AR32" s="148"/>
      <c r="AS32" s="148"/>
      <c r="AT32" s="148"/>
      <c r="AU32" s="148"/>
      <c r="AV32" s="148"/>
      <c r="AW32" s="148"/>
      <c r="AX32" s="148"/>
      <c r="AY32" s="148"/>
      <c r="AZ32" s="148"/>
      <c r="BA32" s="148"/>
      <c r="BB32" s="148"/>
      <c r="BC32" s="148"/>
      <c r="BD32" s="148"/>
      <c r="BE32" s="148"/>
      <c r="BF32" s="148"/>
      <c r="BG32" s="148"/>
      <c r="BH32" s="148"/>
      <c r="BI32" s="148"/>
      <c r="BJ32" s="148"/>
      <c r="BK32" s="148"/>
      <c r="BL32" s="148"/>
      <c r="BM32" s="148"/>
      <c r="BN32" s="148"/>
      <c r="BO32" s="148"/>
    </row>
    <row r="33" spans="1:67" s="205" customFormat="1" ht="21">
      <c r="B33" s="206" t="s">
        <v>215</v>
      </c>
      <c r="C33" s="207"/>
      <c r="D33" s="207"/>
      <c r="E33" s="207"/>
      <c r="F33" s="207"/>
      <c r="G33" s="158">
        <f>SUM(G34:G45)</f>
        <v>133337.5</v>
      </c>
      <c r="H33" s="158">
        <f t="shared" ref="H33:I33" si="20">SUM(H34:H45)</f>
        <v>410587.5</v>
      </c>
      <c r="I33" s="158">
        <f t="shared" si="20"/>
        <v>50762.5</v>
      </c>
      <c r="J33" s="158">
        <f>SUM(J34:J45)</f>
        <v>13762.5</v>
      </c>
      <c r="K33" s="158">
        <f t="shared" ref="K33:L33" si="21">SUM(K34:K45)</f>
        <v>32762.5</v>
      </c>
      <c r="L33" s="158">
        <f t="shared" si="21"/>
        <v>13512.5</v>
      </c>
      <c r="M33" s="158">
        <f>SUM(M34:M45)</f>
        <v>31512.5</v>
      </c>
      <c r="N33" s="158">
        <f t="shared" ref="N33:O33" si="22">SUM(N34:N45)</f>
        <v>48512.5</v>
      </c>
      <c r="O33" s="158">
        <f t="shared" si="22"/>
        <v>29587.5</v>
      </c>
      <c r="P33" s="158">
        <f>SUM(P34:P45)</f>
        <v>19087.5</v>
      </c>
      <c r="Q33" s="158">
        <f>SUM(Q34:Q45)</f>
        <v>9837.5</v>
      </c>
      <c r="R33" s="158">
        <f t="shared" ref="R33" si="23">SUM(R34:R45)</f>
        <v>208337.5</v>
      </c>
      <c r="S33" s="158">
        <f>SUM(G33:R33)</f>
        <v>1001600</v>
      </c>
      <c r="T33" s="159"/>
      <c r="U33" s="208"/>
      <c r="V33" s="208"/>
      <c r="W33" s="148"/>
      <c r="X33" s="148"/>
      <c r="Y33" s="148"/>
      <c r="Z33" s="148"/>
      <c r="AA33" s="148"/>
      <c r="AB33" s="148"/>
      <c r="AC33" s="148"/>
      <c r="AD33" s="148"/>
      <c r="AE33" s="148"/>
      <c r="AF33" s="148"/>
      <c r="AG33" s="148"/>
      <c r="AH33" s="148"/>
      <c r="AI33" s="148"/>
      <c r="AJ33" s="148"/>
      <c r="AK33" s="148"/>
      <c r="AL33" s="148"/>
      <c r="AM33" s="148"/>
      <c r="AN33" s="148"/>
      <c r="AO33" s="148"/>
      <c r="AP33" s="148"/>
      <c r="AQ33" s="148"/>
      <c r="AR33" s="148"/>
      <c r="AS33" s="148"/>
      <c r="AT33" s="148"/>
      <c r="AU33" s="148"/>
      <c r="AV33" s="148"/>
      <c r="AW33" s="148"/>
      <c r="AX33" s="148"/>
      <c r="AY33" s="148"/>
      <c r="AZ33" s="148"/>
      <c r="BA33" s="148"/>
      <c r="BB33" s="148"/>
      <c r="BC33" s="148"/>
      <c r="BD33" s="148"/>
      <c r="BE33" s="148"/>
      <c r="BF33" s="148"/>
      <c r="BG33" s="148"/>
      <c r="BH33" s="148"/>
      <c r="BI33" s="148"/>
      <c r="BJ33" s="148"/>
      <c r="BK33" s="148"/>
      <c r="BL33" s="148"/>
      <c r="BM33" s="148"/>
      <c r="BN33" s="148"/>
      <c r="BO33" s="148"/>
    </row>
    <row r="34" spans="1:67" s="199" customFormat="1" ht="21" outlineLevel="1">
      <c r="A34" s="209"/>
      <c r="B34" s="196" t="s">
        <v>216</v>
      </c>
      <c r="C34" s="163"/>
      <c r="D34" s="163"/>
      <c r="E34" s="163"/>
      <c r="F34" s="163"/>
      <c r="G34" s="167">
        <f>4750*1.25</f>
        <v>5937.5</v>
      </c>
      <c r="H34" s="167">
        <f t="shared" ref="H34:R34" si="24">4750*1.25</f>
        <v>5937.5</v>
      </c>
      <c r="I34" s="167">
        <f>4750*1.25+500</f>
        <v>6437.5</v>
      </c>
      <c r="J34" s="167">
        <f t="shared" ref="J34:N34" si="25">4750*1.25+500</f>
        <v>6437.5</v>
      </c>
      <c r="K34" s="167">
        <f t="shared" si="25"/>
        <v>6437.5</v>
      </c>
      <c r="L34" s="167">
        <f t="shared" si="25"/>
        <v>6437.5</v>
      </c>
      <c r="M34" s="167">
        <f t="shared" si="25"/>
        <v>6437.5</v>
      </c>
      <c r="N34" s="167">
        <f t="shared" si="25"/>
        <v>6437.5</v>
      </c>
      <c r="O34" s="167">
        <f t="shared" si="24"/>
        <v>5937.5</v>
      </c>
      <c r="P34" s="167">
        <f>4750*1.25</f>
        <v>5937.5</v>
      </c>
      <c r="Q34" s="167">
        <f t="shared" si="24"/>
        <v>5937.5</v>
      </c>
      <c r="R34" s="167">
        <f t="shared" si="24"/>
        <v>5937.5</v>
      </c>
      <c r="S34" s="167">
        <f>SUM(G34:R34)</f>
        <v>74250</v>
      </c>
      <c r="T34" s="166"/>
      <c r="U34" s="167" t="s">
        <v>217</v>
      </c>
      <c r="V34" s="167"/>
      <c r="W34" s="148"/>
      <c r="X34" s="148"/>
      <c r="Y34" s="148"/>
      <c r="Z34" s="148"/>
      <c r="AA34" s="148"/>
      <c r="AB34" s="148"/>
      <c r="AC34" s="148"/>
      <c r="AD34" s="148"/>
      <c r="AE34" s="148"/>
      <c r="AF34" s="148"/>
      <c r="AG34" s="148"/>
      <c r="AH34" s="148"/>
      <c r="AI34" s="148"/>
      <c r="AJ34" s="148"/>
      <c r="AK34" s="148"/>
      <c r="AL34" s="148"/>
      <c r="AM34" s="148"/>
      <c r="AN34" s="148"/>
      <c r="AO34" s="148"/>
      <c r="AP34" s="148"/>
      <c r="AQ34" s="148"/>
      <c r="AR34" s="148"/>
      <c r="AS34" s="148"/>
      <c r="AT34" s="148"/>
      <c r="AU34" s="148"/>
      <c r="AV34" s="148"/>
      <c r="AW34" s="148"/>
      <c r="AX34" s="148"/>
      <c r="AY34" s="148"/>
      <c r="AZ34" s="148"/>
      <c r="BA34" s="148"/>
      <c r="BB34" s="148"/>
      <c r="BC34" s="148"/>
      <c r="BD34" s="148"/>
      <c r="BE34" s="148"/>
      <c r="BF34" s="148"/>
      <c r="BG34" s="148"/>
      <c r="BH34" s="148"/>
      <c r="BI34" s="148"/>
      <c r="BJ34" s="148"/>
      <c r="BK34" s="148"/>
      <c r="BL34" s="148"/>
      <c r="BM34" s="148"/>
      <c r="BN34" s="148"/>
      <c r="BO34" s="148"/>
    </row>
    <row r="35" spans="1:67" s="199" customFormat="1" ht="21" outlineLevel="1">
      <c r="A35" s="209"/>
      <c r="B35" s="196" t="s">
        <v>208</v>
      </c>
      <c r="C35" s="163"/>
      <c r="D35" s="163"/>
      <c r="E35" s="163"/>
      <c r="F35" s="163"/>
      <c r="G35" s="167">
        <v>1400</v>
      </c>
      <c r="H35" s="167">
        <v>1400</v>
      </c>
      <c r="I35" s="167">
        <v>1400</v>
      </c>
      <c r="J35" s="167">
        <v>1400</v>
      </c>
      <c r="K35" s="167">
        <v>1400</v>
      </c>
      <c r="L35" s="167">
        <v>1400</v>
      </c>
      <c r="M35" s="167">
        <v>1400</v>
      </c>
      <c r="N35" s="167">
        <v>1400</v>
      </c>
      <c r="O35" s="167">
        <v>1400</v>
      </c>
      <c r="P35" s="167">
        <v>1400</v>
      </c>
      <c r="Q35" s="167">
        <v>1400</v>
      </c>
      <c r="R35" s="167">
        <v>1400</v>
      </c>
      <c r="S35" s="167">
        <f>SUM(G35:R35)</f>
        <v>16800</v>
      </c>
      <c r="T35" s="166"/>
      <c r="U35" s="167" t="s">
        <v>218</v>
      </c>
      <c r="V35" s="167"/>
      <c r="W35" s="148"/>
      <c r="X35" s="148"/>
      <c r="Y35" s="148"/>
      <c r="Z35" s="148"/>
      <c r="AA35" s="148"/>
      <c r="AB35" s="148"/>
      <c r="AC35" s="148"/>
      <c r="AD35" s="148"/>
      <c r="AE35" s="148"/>
      <c r="AF35" s="148"/>
      <c r="AG35" s="148"/>
      <c r="AH35" s="148"/>
      <c r="AI35" s="148"/>
      <c r="AJ35" s="148"/>
      <c r="AK35" s="148"/>
      <c r="AL35" s="148"/>
      <c r="AM35" s="148"/>
      <c r="AN35" s="148"/>
      <c r="AO35" s="148"/>
      <c r="AP35" s="148"/>
      <c r="AQ35" s="148"/>
      <c r="AR35" s="148"/>
      <c r="AS35" s="148"/>
      <c r="AT35" s="148"/>
      <c r="AU35" s="148"/>
      <c r="AV35" s="148"/>
      <c r="AW35" s="148"/>
      <c r="AX35" s="148"/>
      <c r="AY35" s="148"/>
      <c r="AZ35" s="148"/>
      <c r="BA35" s="148"/>
      <c r="BB35" s="148"/>
      <c r="BC35" s="148"/>
      <c r="BD35" s="148"/>
      <c r="BE35" s="148"/>
      <c r="BF35" s="148"/>
      <c r="BG35" s="148"/>
      <c r="BH35" s="148"/>
      <c r="BI35" s="148"/>
      <c r="BJ35" s="148"/>
      <c r="BK35" s="148"/>
      <c r="BL35" s="148"/>
      <c r="BM35" s="148"/>
      <c r="BN35" s="148"/>
      <c r="BO35" s="148"/>
    </row>
    <row r="36" spans="1:67" s="199" customFormat="1" ht="21" outlineLevel="1">
      <c r="A36" s="209"/>
      <c r="B36" s="196" t="s">
        <v>145</v>
      </c>
      <c r="C36" s="163"/>
      <c r="D36" s="163"/>
      <c r="E36" s="163"/>
      <c r="F36" s="163"/>
      <c r="G36" s="167">
        <v>105000</v>
      </c>
      <c r="H36" s="167">
        <v>400000</v>
      </c>
      <c r="I36" s="167">
        <v>2500</v>
      </c>
      <c r="J36" s="167">
        <v>2500</v>
      </c>
      <c r="K36" s="167">
        <v>2500</v>
      </c>
      <c r="L36" s="167">
        <v>2500</v>
      </c>
      <c r="M36" s="167">
        <v>2500</v>
      </c>
      <c r="N36" s="167">
        <v>2500</v>
      </c>
      <c r="O36" s="167">
        <v>2500</v>
      </c>
      <c r="P36" s="167">
        <v>2500</v>
      </c>
      <c r="Q36" s="167">
        <v>2500</v>
      </c>
      <c r="R36" s="167">
        <v>201000</v>
      </c>
      <c r="S36" s="167">
        <f>SUM(G36:R36)</f>
        <v>728500</v>
      </c>
      <c r="T36" s="166"/>
      <c r="U36" s="167" t="s">
        <v>265</v>
      </c>
      <c r="V36" s="167"/>
      <c r="W36" s="148"/>
      <c r="X36" s="148"/>
      <c r="Y36" s="148"/>
      <c r="Z36" s="148"/>
      <c r="AA36" s="148"/>
      <c r="AB36" s="148"/>
      <c r="AC36" s="148"/>
      <c r="AD36" s="148"/>
      <c r="AE36" s="148"/>
      <c r="AF36" s="148"/>
      <c r="AG36" s="148"/>
      <c r="AH36" s="148"/>
      <c r="AI36" s="148"/>
      <c r="AJ36" s="148"/>
      <c r="AK36" s="148"/>
      <c r="AL36" s="148"/>
      <c r="AM36" s="148"/>
      <c r="AN36" s="148"/>
      <c r="AO36" s="148"/>
      <c r="AP36" s="148"/>
      <c r="AQ36" s="148"/>
      <c r="AR36" s="148"/>
      <c r="AS36" s="148"/>
      <c r="AT36" s="148"/>
      <c r="AU36" s="148"/>
      <c r="AV36" s="148"/>
      <c r="AW36" s="148"/>
      <c r="AX36" s="148"/>
      <c r="AY36" s="148"/>
      <c r="AZ36" s="148"/>
      <c r="BA36" s="148"/>
      <c r="BB36" s="148"/>
      <c r="BC36" s="148"/>
      <c r="BD36" s="148"/>
      <c r="BE36" s="148"/>
      <c r="BF36" s="148"/>
      <c r="BG36" s="148"/>
      <c r="BH36" s="148"/>
      <c r="BI36" s="148"/>
      <c r="BJ36" s="148"/>
      <c r="BK36" s="148"/>
      <c r="BL36" s="148"/>
      <c r="BM36" s="148"/>
      <c r="BN36" s="148"/>
      <c r="BO36" s="148"/>
    </row>
    <row r="37" spans="1:67" s="199" customFormat="1" ht="21" outlineLevel="1">
      <c r="A37" s="209"/>
      <c r="B37" s="196" t="s">
        <v>219</v>
      </c>
      <c r="C37" s="163"/>
      <c r="D37" s="163"/>
      <c r="E37" s="163"/>
      <c r="F37" s="163"/>
      <c r="G37" s="186">
        <v>20000</v>
      </c>
      <c r="H37" s="186">
        <v>1000</v>
      </c>
      <c r="I37" s="186">
        <v>20000</v>
      </c>
      <c r="J37" s="186">
        <v>1000</v>
      </c>
      <c r="K37" s="186">
        <v>20000</v>
      </c>
      <c r="L37" s="186">
        <v>1000</v>
      </c>
      <c r="M37" s="186">
        <v>20000</v>
      </c>
      <c r="N37" s="186">
        <v>1000</v>
      </c>
      <c r="O37" s="186">
        <v>19000</v>
      </c>
      <c r="P37" s="167">
        <v>8000</v>
      </c>
      <c r="Q37" s="167">
        <v>0</v>
      </c>
      <c r="R37" s="167"/>
      <c r="S37" s="167">
        <f t="shared" ref="S37:S45" si="26">SUM(G37:R37)</f>
        <v>111000</v>
      </c>
      <c r="T37" s="166"/>
      <c r="U37" s="167" t="s">
        <v>220</v>
      </c>
      <c r="V37" s="167"/>
      <c r="W37" s="148"/>
      <c r="X37" s="148"/>
      <c r="Y37" s="148"/>
      <c r="Z37" s="148"/>
      <c r="AA37" s="148"/>
      <c r="AB37" s="148"/>
      <c r="AC37" s="148"/>
      <c r="AD37" s="148"/>
      <c r="AE37" s="148"/>
      <c r="AF37" s="148"/>
      <c r="AG37" s="148"/>
      <c r="AH37" s="148"/>
      <c r="AI37" s="148"/>
      <c r="AJ37" s="148"/>
      <c r="AK37" s="148"/>
      <c r="AL37" s="148"/>
      <c r="AM37" s="148"/>
      <c r="AN37" s="148"/>
      <c r="AO37" s="148"/>
      <c r="AP37" s="148"/>
      <c r="AQ37" s="148"/>
      <c r="AR37" s="148"/>
      <c r="AS37" s="148"/>
      <c r="AT37" s="148"/>
      <c r="AU37" s="148"/>
      <c r="AV37" s="148"/>
      <c r="AW37" s="148"/>
      <c r="AX37" s="148"/>
      <c r="AY37" s="148"/>
      <c r="AZ37" s="148"/>
      <c r="BA37" s="148"/>
      <c r="BB37" s="148"/>
      <c r="BC37" s="148"/>
      <c r="BD37" s="148"/>
      <c r="BE37" s="148"/>
      <c r="BF37" s="148"/>
      <c r="BG37" s="148"/>
      <c r="BH37" s="148"/>
      <c r="BI37" s="148"/>
      <c r="BJ37" s="148"/>
      <c r="BK37" s="148"/>
      <c r="BL37" s="148"/>
      <c r="BM37" s="148"/>
      <c r="BN37" s="148"/>
      <c r="BO37" s="148"/>
    </row>
    <row r="38" spans="1:67" s="199" customFormat="1" ht="21" outlineLevel="1">
      <c r="A38" s="209"/>
      <c r="B38" s="196" t="s">
        <v>221</v>
      </c>
      <c r="C38" s="163"/>
      <c r="D38" s="163"/>
      <c r="E38" s="163"/>
      <c r="F38" s="163"/>
      <c r="G38" s="167"/>
      <c r="H38" s="167">
        <v>1000</v>
      </c>
      <c r="I38" s="167">
        <v>18000</v>
      </c>
      <c r="J38" s="167"/>
      <c r="K38" s="167"/>
      <c r="L38" s="167"/>
      <c r="M38" s="167"/>
      <c r="N38" s="167"/>
      <c r="O38" s="167"/>
      <c r="P38" s="167"/>
      <c r="Q38" s="167"/>
      <c r="R38" s="167"/>
      <c r="S38" s="167">
        <f t="shared" si="26"/>
        <v>19000</v>
      </c>
      <c r="T38" s="166"/>
      <c r="U38" s="167" t="s">
        <v>222</v>
      </c>
      <c r="V38" s="167"/>
      <c r="W38" s="148"/>
      <c r="X38" s="148"/>
      <c r="Y38" s="148"/>
      <c r="Z38" s="148"/>
      <c r="AA38" s="148"/>
      <c r="AB38" s="148"/>
      <c r="AC38" s="148"/>
      <c r="AD38" s="148"/>
      <c r="AE38" s="148"/>
      <c r="AF38" s="148"/>
      <c r="AG38" s="148"/>
      <c r="AH38" s="148"/>
      <c r="AI38" s="148"/>
      <c r="AJ38" s="148"/>
      <c r="AK38" s="148"/>
      <c r="AL38" s="148"/>
      <c r="AM38" s="148"/>
      <c r="AN38" s="148"/>
      <c r="AO38" s="148"/>
      <c r="AP38" s="148"/>
      <c r="AQ38" s="148"/>
      <c r="AR38" s="148"/>
      <c r="AS38" s="148"/>
      <c r="AT38" s="148"/>
      <c r="AU38" s="148"/>
      <c r="AV38" s="148"/>
      <c r="AW38" s="148"/>
      <c r="AX38" s="148"/>
      <c r="AY38" s="148"/>
      <c r="AZ38" s="148"/>
      <c r="BA38" s="148"/>
      <c r="BB38" s="148"/>
      <c r="BC38" s="148"/>
      <c r="BD38" s="148"/>
      <c r="BE38" s="148"/>
      <c r="BF38" s="148"/>
      <c r="BG38" s="148"/>
      <c r="BH38" s="148"/>
      <c r="BI38" s="148"/>
      <c r="BJ38" s="148"/>
      <c r="BK38" s="148"/>
      <c r="BL38" s="148"/>
      <c r="BM38" s="148"/>
      <c r="BN38" s="148"/>
      <c r="BO38" s="148"/>
    </row>
    <row r="39" spans="1:67" s="199" customFormat="1" ht="21" outlineLevel="1">
      <c r="A39" s="209"/>
      <c r="B39" s="196" t="s">
        <v>223</v>
      </c>
      <c r="C39" s="163"/>
      <c r="D39" s="163"/>
      <c r="E39" s="163"/>
      <c r="F39" s="163"/>
      <c r="G39" s="167"/>
      <c r="H39" s="167">
        <v>250</v>
      </c>
      <c r="I39" s="167">
        <v>250</v>
      </c>
      <c r="J39" s="167">
        <v>250</v>
      </c>
      <c r="K39" s="167">
        <v>250</v>
      </c>
      <c r="L39" s="167"/>
      <c r="M39" s="167"/>
      <c r="N39" s="167"/>
      <c r="O39" s="167"/>
      <c r="P39" s="167"/>
      <c r="Q39" s="167"/>
      <c r="R39" s="167"/>
      <c r="S39" s="167">
        <f t="shared" si="26"/>
        <v>1000</v>
      </c>
      <c r="T39" s="166"/>
      <c r="U39" s="167" t="s">
        <v>224</v>
      </c>
      <c r="V39" s="167"/>
      <c r="W39" s="148"/>
      <c r="X39" s="148"/>
      <c r="Y39" s="148"/>
      <c r="Z39" s="148"/>
      <c r="AA39" s="148"/>
      <c r="AB39" s="148"/>
      <c r="AC39" s="148"/>
      <c r="AD39" s="148"/>
      <c r="AE39" s="148"/>
      <c r="AF39" s="148"/>
      <c r="AG39" s="148"/>
      <c r="AH39" s="148"/>
      <c r="AI39" s="148"/>
      <c r="AJ39" s="148"/>
      <c r="AK39" s="148"/>
      <c r="AL39" s="148"/>
      <c r="AM39" s="148"/>
      <c r="AN39" s="148"/>
      <c r="AO39" s="148"/>
      <c r="AP39" s="148"/>
      <c r="AQ39" s="148"/>
      <c r="AR39" s="148"/>
      <c r="AS39" s="148"/>
      <c r="AT39" s="148"/>
      <c r="AU39" s="148"/>
      <c r="AV39" s="148"/>
      <c r="AW39" s="148"/>
      <c r="AX39" s="148"/>
      <c r="AY39" s="148"/>
      <c r="AZ39" s="148"/>
      <c r="BA39" s="148"/>
      <c r="BB39" s="148"/>
      <c r="BC39" s="148"/>
      <c r="BD39" s="148"/>
      <c r="BE39" s="148"/>
      <c r="BF39" s="148"/>
      <c r="BG39" s="148"/>
      <c r="BH39" s="148"/>
      <c r="BI39" s="148"/>
      <c r="BJ39" s="148"/>
      <c r="BK39" s="148"/>
      <c r="BL39" s="148"/>
      <c r="BM39" s="148"/>
      <c r="BN39" s="148"/>
      <c r="BO39" s="148"/>
    </row>
    <row r="40" spans="1:67" s="199" customFormat="1" ht="21" outlineLevel="1">
      <c r="A40" s="209"/>
      <c r="B40" s="196" t="s">
        <v>225</v>
      </c>
      <c r="C40" s="163"/>
      <c r="D40" s="163"/>
      <c r="E40" s="163"/>
      <c r="F40" s="163"/>
      <c r="G40" s="167">
        <v>1000</v>
      </c>
      <c r="H40" s="167">
        <v>1000</v>
      </c>
      <c r="I40" s="167">
        <v>1000</v>
      </c>
      <c r="J40" s="167">
        <v>1000</v>
      </c>
      <c r="K40" s="167">
        <v>1000</v>
      </c>
      <c r="L40" s="167">
        <v>1000</v>
      </c>
      <c r="M40" s="167"/>
      <c r="N40" s="167">
        <v>36000</v>
      </c>
      <c r="O40" s="167"/>
      <c r="P40" s="167"/>
      <c r="Q40" s="167"/>
      <c r="R40" s="167"/>
      <c r="S40" s="167">
        <f t="shared" si="26"/>
        <v>42000</v>
      </c>
      <c r="T40" s="166"/>
      <c r="U40" s="167" t="s">
        <v>226</v>
      </c>
      <c r="V40" s="167"/>
      <c r="W40" s="148"/>
      <c r="X40" s="148"/>
      <c r="Y40" s="148"/>
      <c r="Z40" s="148"/>
      <c r="AA40" s="148"/>
      <c r="AB40" s="148"/>
      <c r="AC40" s="148"/>
      <c r="AD40" s="148"/>
      <c r="AE40" s="148"/>
      <c r="AF40" s="148"/>
      <c r="AG40" s="148"/>
      <c r="AH40" s="148"/>
      <c r="AI40" s="148"/>
      <c r="AJ40" s="148"/>
      <c r="AK40" s="148"/>
      <c r="AL40" s="148"/>
      <c r="AM40" s="148"/>
      <c r="AN40" s="148"/>
      <c r="AO40" s="148"/>
      <c r="AP40" s="148"/>
      <c r="AQ40" s="148"/>
      <c r="AR40" s="148"/>
      <c r="AS40" s="148"/>
      <c r="AT40" s="148"/>
      <c r="AU40" s="148"/>
      <c r="AV40" s="148"/>
      <c r="AW40" s="148"/>
      <c r="AX40" s="148"/>
      <c r="AY40" s="148"/>
      <c r="AZ40" s="148"/>
      <c r="BA40" s="148"/>
      <c r="BB40" s="148"/>
      <c r="BC40" s="148"/>
      <c r="BD40" s="148"/>
      <c r="BE40" s="148"/>
      <c r="BF40" s="148"/>
      <c r="BG40" s="148"/>
      <c r="BH40" s="148"/>
      <c r="BI40" s="148"/>
      <c r="BJ40" s="148"/>
      <c r="BK40" s="148"/>
      <c r="BL40" s="148"/>
      <c r="BM40" s="148"/>
      <c r="BN40" s="148"/>
      <c r="BO40" s="148"/>
    </row>
    <row r="41" spans="1:67" s="199" customFormat="1" ht="21" outlineLevel="1">
      <c r="A41" s="209"/>
      <c r="B41" s="196" t="s">
        <v>227</v>
      </c>
      <c r="C41" s="163"/>
      <c r="D41" s="163"/>
      <c r="E41" s="163"/>
      <c r="F41" s="163"/>
      <c r="G41" s="167"/>
      <c r="H41" s="167"/>
      <c r="I41" s="167">
        <v>425</v>
      </c>
      <c r="J41" s="167">
        <v>425</v>
      </c>
      <c r="K41" s="167">
        <v>425</v>
      </c>
      <c r="L41" s="167">
        <v>425</v>
      </c>
      <c r="M41" s="167">
        <v>425</v>
      </c>
      <c r="N41" s="167">
        <v>425</v>
      </c>
      <c r="O41" s="167"/>
      <c r="P41" s="167"/>
      <c r="Q41" s="167"/>
      <c r="R41" s="167"/>
      <c r="S41" s="167">
        <f t="shared" si="26"/>
        <v>2550</v>
      </c>
      <c r="T41" s="166"/>
      <c r="U41" s="167" t="s">
        <v>224</v>
      </c>
      <c r="V41" s="167"/>
      <c r="W41" s="148"/>
      <c r="X41" s="148"/>
      <c r="Y41" s="148"/>
      <c r="Z41" s="148"/>
      <c r="AA41" s="148"/>
      <c r="AB41" s="148"/>
      <c r="AC41" s="148"/>
      <c r="AD41" s="148"/>
      <c r="AE41" s="148"/>
      <c r="AF41" s="148"/>
      <c r="AG41" s="148"/>
      <c r="AH41" s="148"/>
      <c r="AI41" s="148"/>
      <c r="AJ41" s="148"/>
      <c r="AK41" s="148"/>
      <c r="AL41" s="148"/>
      <c r="AM41" s="148"/>
      <c r="AN41" s="148"/>
      <c r="AO41" s="148"/>
      <c r="AP41" s="148"/>
      <c r="AQ41" s="148"/>
      <c r="AR41" s="148"/>
      <c r="AS41" s="148"/>
      <c r="AT41" s="148"/>
      <c r="AU41" s="148"/>
      <c r="AV41" s="148"/>
      <c r="AW41" s="148"/>
      <c r="AX41" s="148"/>
      <c r="AY41" s="148"/>
      <c r="AZ41" s="148"/>
      <c r="BA41" s="148"/>
      <c r="BB41" s="148"/>
      <c r="BC41" s="148"/>
      <c r="BD41" s="148"/>
      <c r="BE41" s="148"/>
      <c r="BF41" s="148"/>
      <c r="BG41" s="148"/>
      <c r="BH41" s="148"/>
      <c r="BI41" s="148"/>
      <c r="BJ41" s="148"/>
      <c r="BK41" s="148"/>
      <c r="BL41" s="148"/>
      <c r="BM41" s="148"/>
      <c r="BN41" s="148"/>
      <c r="BO41" s="148"/>
    </row>
    <row r="42" spans="1:67" s="199" customFormat="1" ht="21" outlineLevel="1">
      <c r="A42" s="209"/>
      <c r="B42" s="196" t="s">
        <v>228</v>
      </c>
      <c r="C42" s="163"/>
      <c r="D42" s="163"/>
      <c r="E42" s="163"/>
      <c r="F42" s="163"/>
      <c r="G42" s="167"/>
      <c r="H42" s="167"/>
      <c r="I42" s="167"/>
      <c r="J42" s="167"/>
      <c r="K42" s="167"/>
      <c r="L42" s="167"/>
      <c r="M42" s="167">
        <v>500</v>
      </c>
      <c r="N42" s="167">
        <v>500</v>
      </c>
      <c r="O42" s="167">
        <v>500</v>
      </c>
      <c r="P42" s="167">
        <v>1000</v>
      </c>
      <c r="Q42" s="167"/>
      <c r="R42" s="167"/>
      <c r="S42" s="167">
        <f t="shared" si="26"/>
        <v>2500</v>
      </c>
      <c r="T42" s="166"/>
      <c r="U42" s="167" t="s">
        <v>229</v>
      </c>
      <c r="V42" s="167"/>
      <c r="W42" s="148"/>
      <c r="X42" s="148"/>
      <c r="Y42" s="148"/>
      <c r="Z42" s="148"/>
      <c r="AA42" s="148"/>
      <c r="AB42" s="148"/>
      <c r="AC42" s="148"/>
      <c r="AD42" s="148"/>
      <c r="AE42" s="148"/>
      <c r="AF42" s="148"/>
      <c r="AG42" s="148"/>
      <c r="AH42" s="148"/>
      <c r="AI42" s="148"/>
      <c r="AJ42" s="148"/>
      <c r="AK42" s="148"/>
      <c r="AL42" s="148"/>
      <c r="AM42" s="148"/>
      <c r="AN42" s="148"/>
      <c r="AO42" s="148"/>
      <c r="AP42" s="148"/>
      <c r="AQ42" s="148"/>
      <c r="AR42" s="148"/>
      <c r="AS42" s="148"/>
      <c r="AT42" s="148"/>
      <c r="AU42" s="148"/>
      <c r="AV42" s="148"/>
      <c r="AW42" s="148"/>
      <c r="AX42" s="148"/>
      <c r="AY42" s="148"/>
      <c r="AZ42" s="148"/>
      <c r="BA42" s="148"/>
      <c r="BB42" s="148"/>
      <c r="BC42" s="148"/>
      <c r="BD42" s="148"/>
      <c r="BE42" s="148"/>
      <c r="BF42" s="148"/>
      <c r="BG42" s="148"/>
      <c r="BH42" s="148"/>
      <c r="BI42" s="148"/>
      <c r="BJ42" s="148"/>
      <c r="BK42" s="148"/>
      <c r="BL42" s="148"/>
      <c r="BM42" s="148"/>
      <c r="BN42" s="148"/>
      <c r="BO42" s="148"/>
    </row>
    <row r="43" spans="1:67" s="199" customFormat="1" ht="21" outlineLevel="1">
      <c r="A43" s="209"/>
      <c r="B43" s="196" t="s">
        <v>230</v>
      </c>
      <c r="C43" s="163"/>
      <c r="D43" s="163"/>
      <c r="E43" s="163"/>
      <c r="F43" s="163"/>
      <c r="G43" s="167"/>
      <c r="H43" s="167"/>
      <c r="I43" s="167">
        <v>250</v>
      </c>
      <c r="J43" s="167">
        <v>250</v>
      </c>
      <c r="K43" s="167">
        <v>250</v>
      </c>
      <c r="L43" s="167">
        <v>250</v>
      </c>
      <c r="M43" s="167">
        <v>250</v>
      </c>
      <c r="N43" s="167">
        <v>250</v>
      </c>
      <c r="O43" s="167"/>
      <c r="P43" s="167"/>
      <c r="Q43" s="167"/>
      <c r="R43" s="167"/>
      <c r="S43" s="167">
        <f t="shared" si="26"/>
        <v>1500</v>
      </c>
      <c r="T43" s="166"/>
      <c r="U43" s="167" t="s">
        <v>224</v>
      </c>
      <c r="V43" s="167"/>
      <c r="W43" s="148"/>
      <c r="X43" s="148"/>
      <c r="Y43" s="148"/>
      <c r="Z43" s="148"/>
      <c r="AA43" s="148"/>
      <c r="AB43" s="148"/>
      <c r="AC43" s="148"/>
      <c r="AD43" s="148"/>
      <c r="AE43" s="148"/>
      <c r="AF43" s="148"/>
      <c r="AG43" s="148"/>
      <c r="AH43" s="148"/>
      <c r="AI43" s="148"/>
      <c r="AJ43" s="148"/>
      <c r="AK43" s="148"/>
      <c r="AL43" s="148"/>
      <c r="AM43" s="148"/>
      <c r="AN43" s="148"/>
      <c r="AO43" s="148"/>
      <c r="AP43" s="148"/>
      <c r="AQ43" s="148"/>
      <c r="AR43" s="148"/>
      <c r="AS43" s="148"/>
      <c r="AT43" s="148"/>
      <c r="AU43" s="148"/>
      <c r="AV43" s="148"/>
      <c r="AW43" s="148"/>
      <c r="AX43" s="148"/>
      <c r="AY43" s="148"/>
      <c r="AZ43" s="148"/>
      <c r="BA43" s="148"/>
      <c r="BB43" s="148"/>
      <c r="BC43" s="148"/>
      <c r="BD43" s="148"/>
      <c r="BE43" s="148"/>
      <c r="BF43" s="148"/>
      <c r="BG43" s="148"/>
      <c r="BH43" s="148"/>
      <c r="BI43" s="148"/>
      <c r="BJ43" s="148"/>
      <c r="BK43" s="148"/>
      <c r="BL43" s="148"/>
      <c r="BM43" s="148"/>
      <c r="BN43" s="148"/>
      <c r="BO43" s="148"/>
    </row>
    <row r="44" spans="1:67" s="199" customFormat="1" ht="21" outlineLevel="1">
      <c r="A44" s="209"/>
      <c r="B44" s="196" t="s">
        <v>231</v>
      </c>
      <c r="C44" s="163"/>
      <c r="D44" s="163"/>
      <c r="E44" s="163"/>
      <c r="F44" s="163"/>
      <c r="G44" s="167"/>
      <c r="H44" s="167"/>
      <c r="I44" s="167">
        <v>500</v>
      </c>
      <c r="J44" s="167">
        <v>500</v>
      </c>
      <c r="K44" s="167">
        <v>500</v>
      </c>
      <c r="L44" s="167">
        <v>500</v>
      </c>
      <c r="M44" s="167"/>
      <c r="N44" s="167"/>
      <c r="O44" s="167"/>
      <c r="P44" s="167"/>
      <c r="Q44" s="167"/>
      <c r="R44" s="167"/>
      <c r="S44" s="167">
        <f t="shared" si="26"/>
        <v>2000</v>
      </c>
      <c r="T44" s="166"/>
      <c r="U44" s="167" t="s">
        <v>224</v>
      </c>
      <c r="V44" s="167"/>
      <c r="W44" s="148"/>
      <c r="X44" s="148"/>
      <c r="Y44" s="148"/>
      <c r="Z44" s="148"/>
      <c r="AA44" s="148"/>
      <c r="AB44" s="148"/>
      <c r="AC44" s="148"/>
      <c r="AD44" s="148"/>
      <c r="AE44" s="148"/>
      <c r="AF44" s="148"/>
      <c r="AG44" s="148"/>
      <c r="AH44" s="148"/>
      <c r="AI44" s="148"/>
      <c r="AJ44" s="148"/>
      <c r="AK44" s="148"/>
      <c r="AL44" s="148"/>
      <c r="AM44" s="148"/>
      <c r="AN44" s="148"/>
      <c r="AO44" s="148"/>
      <c r="AP44" s="148"/>
      <c r="AQ44" s="148"/>
      <c r="AR44" s="148"/>
      <c r="AS44" s="148"/>
      <c r="AT44" s="148"/>
      <c r="AU44" s="148"/>
      <c r="AV44" s="148"/>
      <c r="AW44" s="148"/>
      <c r="AX44" s="148"/>
      <c r="AY44" s="148"/>
      <c r="AZ44" s="148"/>
      <c r="BA44" s="148"/>
      <c r="BB44" s="148"/>
      <c r="BC44" s="148"/>
      <c r="BD44" s="148"/>
      <c r="BE44" s="148"/>
      <c r="BF44" s="148"/>
      <c r="BG44" s="148"/>
      <c r="BH44" s="148"/>
      <c r="BI44" s="148"/>
      <c r="BJ44" s="148"/>
      <c r="BK44" s="148"/>
      <c r="BL44" s="148"/>
      <c r="BM44" s="148"/>
      <c r="BN44" s="148"/>
      <c r="BO44" s="148"/>
    </row>
    <row r="45" spans="1:67" s="199" customFormat="1" ht="21" outlineLevel="1">
      <c r="A45" s="209"/>
      <c r="B45" s="196" t="s">
        <v>232</v>
      </c>
      <c r="C45" s="163"/>
      <c r="D45" s="163"/>
      <c r="E45" s="163"/>
      <c r="F45" s="163"/>
      <c r="G45" s="167"/>
      <c r="H45" s="167"/>
      <c r="I45" s="167"/>
      <c r="J45" s="167"/>
      <c r="K45" s="167"/>
      <c r="L45" s="167"/>
      <c r="M45" s="167"/>
      <c r="N45" s="167"/>
      <c r="O45" s="167">
        <v>250</v>
      </c>
      <c r="P45" s="167">
        <v>250</v>
      </c>
      <c r="Q45" s="167"/>
      <c r="R45" s="167"/>
      <c r="S45" s="167">
        <f t="shared" si="26"/>
        <v>500</v>
      </c>
      <c r="T45" s="166"/>
      <c r="U45" s="167" t="s">
        <v>224</v>
      </c>
      <c r="V45" s="167"/>
      <c r="W45" s="148"/>
      <c r="X45" s="148"/>
      <c r="Y45" s="148"/>
      <c r="Z45" s="148"/>
      <c r="AA45" s="148"/>
      <c r="AB45" s="148"/>
      <c r="AC45" s="148"/>
      <c r="AD45" s="148"/>
      <c r="AE45" s="148"/>
      <c r="AF45" s="148"/>
      <c r="AG45" s="148"/>
      <c r="AH45" s="148"/>
      <c r="AI45" s="148"/>
      <c r="AJ45" s="148"/>
      <c r="AK45" s="148"/>
      <c r="AL45" s="148"/>
      <c r="AM45" s="148"/>
      <c r="AN45" s="148"/>
      <c r="AO45" s="148"/>
      <c r="AP45" s="148"/>
      <c r="AQ45" s="148"/>
      <c r="AR45" s="148"/>
      <c r="AS45" s="148"/>
      <c r="AT45" s="148"/>
      <c r="AU45" s="148"/>
      <c r="AV45" s="148"/>
      <c r="AW45" s="148"/>
      <c r="AX45" s="148"/>
      <c r="AY45" s="148"/>
      <c r="AZ45" s="148"/>
      <c r="BA45" s="148"/>
      <c r="BB45" s="148"/>
      <c r="BC45" s="148"/>
      <c r="BD45" s="148"/>
      <c r="BE45" s="148"/>
      <c r="BF45" s="148"/>
      <c r="BG45" s="148"/>
      <c r="BH45" s="148"/>
      <c r="BI45" s="148"/>
      <c r="BJ45" s="148"/>
      <c r="BK45" s="148"/>
      <c r="BL45" s="148"/>
      <c r="BM45" s="148"/>
      <c r="BN45" s="148"/>
      <c r="BO45" s="148"/>
    </row>
    <row r="46" spans="1:67" s="154" customFormat="1" ht="21" collapsed="1">
      <c r="B46" s="191" t="s">
        <v>233</v>
      </c>
      <c r="C46" s="192"/>
      <c r="D46" s="192"/>
      <c r="E46" s="192"/>
      <c r="F46" s="192"/>
      <c r="G46" s="157"/>
      <c r="H46" s="157"/>
      <c r="I46" s="157"/>
      <c r="J46" s="157"/>
      <c r="K46" s="157"/>
      <c r="L46" s="157"/>
      <c r="M46" s="157"/>
      <c r="N46" s="157"/>
      <c r="O46" s="157"/>
      <c r="P46" s="157"/>
      <c r="Q46" s="157"/>
      <c r="R46" s="157"/>
      <c r="S46" s="158">
        <f>SUM(G46:R46)</f>
        <v>0</v>
      </c>
      <c r="T46" s="159"/>
      <c r="U46" s="160"/>
      <c r="V46" s="160"/>
      <c r="W46" s="148"/>
      <c r="X46" s="148"/>
      <c r="Y46" s="148"/>
      <c r="Z46" s="148"/>
      <c r="AA46" s="148"/>
      <c r="AB46" s="148"/>
      <c r="AC46" s="148"/>
      <c r="AD46" s="148"/>
      <c r="AE46" s="148"/>
      <c r="AF46" s="148"/>
      <c r="AG46" s="148"/>
      <c r="AH46" s="148"/>
      <c r="AI46" s="148"/>
      <c r="AJ46" s="148"/>
      <c r="AK46" s="148"/>
      <c r="AL46" s="148"/>
      <c r="AM46" s="148"/>
      <c r="AN46" s="148"/>
      <c r="AO46" s="148"/>
      <c r="AP46" s="148"/>
      <c r="AQ46" s="148"/>
      <c r="AR46" s="148"/>
      <c r="AS46" s="148"/>
      <c r="AT46" s="148"/>
      <c r="AU46" s="148"/>
      <c r="AV46" s="148"/>
      <c r="AW46" s="148"/>
      <c r="AX46" s="148"/>
      <c r="AY46" s="148"/>
      <c r="AZ46" s="148"/>
      <c r="BA46" s="148"/>
      <c r="BB46" s="148"/>
      <c r="BC46" s="148"/>
      <c r="BD46" s="148"/>
      <c r="BE46" s="148"/>
      <c r="BF46" s="148"/>
      <c r="BG46" s="148"/>
      <c r="BH46" s="148"/>
      <c r="BI46" s="148"/>
      <c r="BJ46" s="148"/>
      <c r="BK46" s="148"/>
      <c r="BL46" s="148"/>
      <c r="BM46" s="148"/>
      <c r="BN46" s="148"/>
      <c r="BO46" s="148"/>
    </row>
    <row r="47" spans="1:67" s="199" customFormat="1" ht="21" hidden="1" outlineLevel="1">
      <c r="A47" s="209"/>
      <c r="B47" s="196" t="s">
        <v>234</v>
      </c>
      <c r="C47" s="163"/>
      <c r="D47" s="163"/>
      <c r="E47" s="163"/>
      <c r="F47" s="163"/>
      <c r="G47" s="167">
        <v>500</v>
      </c>
      <c r="H47" s="167">
        <v>5000</v>
      </c>
      <c r="I47" s="167"/>
      <c r="J47" s="167"/>
      <c r="K47" s="167"/>
      <c r="L47" s="167"/>
      <c r="M47" s="167"/>
      <c r="N47" s="167"/>
      <c r="O47" s="167"/>
      <c r="P47" s="167"/>
      <c r="Q47" s="167"/>
      <c r="R47" s="167"/>
      <c r="S47" s="167">
        <f t="shared" ref="S47" si="27">SUM(G47:R47)</f>
        <v>5500</v>
      </c>
      <c r="T47" s="166"/>
      <c r="U47" s="167" t="s">
        <v>235</v>
      </c>
      <c r="V47" s="167"/>
      <c r="W47" s="148"/>
      <c r="X47" s="148"/>
      <c r="Y47" s="148"/>
      <c r="Z47" s="148"/>
      <c r="AA47" s="148"/>
      <c r="AB47" s="148"/>
      <c r="AC47" s="148"/>
      <c r="AD47" s="148"/>
      <c r="AE47" s="148"/>
      <c r="AF47" s="148"/>
      <c r="AG47" s="148"/>
      <c r="AH47" s="148"/>
      <c r="AI47" s="148"/>
      <c r="AJ47" s="148"/>
      <c r="AK47" s="148"/>
      <c r="AL47" s="148"/>
      <c r="AM47" s="148"/>
      <c r="AN47" s="148"/>
      <c r="AO47" s="148"/>
      <c r="AP47" s="148"/>
      <c r="AQ47" s="148"/>
      <c r="AR47" s="148"/>
      <c r="AS47" s="148"/>
      <c r="AT47" s="148"/>
      <c r="AU47" s="148"/>
      <c r="AV47" s="148"/>
      <c r="AW47" s="148"/>
      <c r="AX47" s="148"/>
      <c r="AY47" s="148"/>
      <c r="AZ47" s="148"/>
      <c r="BA47" s="148"/>
      <c r="BB47" s="148"/>
      <c r="BC47" s="148"/>
      <c r="BD47" s="148"/>
      <c r="BE47" s="148"/>
      <c r="BF47" s="148"/>
      <c r="BG47" s="148"/>
      <c r="BH47" s="148"/>
      <c r="BI47" s="148"/>
      <c r="BJ47" s="148"/>
      <c r="BK47" s="148"/>
      <c r="BL47" s="148"/>
      <c r="BM47" s="148"/>
      <c r="BN47" s="148"/>
      <c r="BO47" s="148"/>
    </row>
    <row r="48" spans="1:67" s="154" customFormat="1" ht="21" collapsed="1">
      <c r="B48" s="191" t="s">
        <v>236</v>
      </c>
      <c r="C48" s="192"/>
      <c r="D48" s="192"/>
      <c r="E48" s="192"/>
      <c r="F48" s="192"/>
      <c r="G48" s="157">
        <f>SUM(G49:G53)</f>
        <v>12833.333333333334</v>
      </c>
      <c r="H48" s="157">
        <f t="shared" ref="H48:R48" si="28">SUM(H49:H53)</f>
        <v>12833.333333333334</v>
      </c>
      <c r="I48" s="157">
        <f t="shared" si="28"/>
        <v>12833.333333333334</v>
      </c>
      <c r="J48" s="157">
        <f t="shared" si="28"/>
        <v>12833.333333333334</v>
      </c>
      <c r="K48" s="157">
        <f t="shared" si="28"/>
        <v>12833.333333333334</v>
      </c>
      <c r="L48" s="157">
        <f t="shared" si="28"/>
        <v>14333.333333333334</v>
      </c>
      <c r="M48" s="157">
        <f t="shared" si="28"/>
        <v>14333.333333333334</v>
      </c>
      <c r="N48" s="157">
        <f t="shared" si="28"/>
        <v>14333.333333333334</v>
      </c>
      <c r="O48" s="157">
        <f t="shared" si="28"/>
        <v>14333.333333333334</v>
      </c>
      <c r="P48" s="157">
        <f t="shared" si="28"/>
        <v>14333.333333333334</v>
      </c>
      <c r="Q48" s="157">
        <f t="shared" si="28"/>
        <v>14333.333333333334</v>
      </c>
      <c r="R48" s="157">
        <f t="shared" si="28"/>
        <v>14333.333333333334</v>
      </c>
      <c r="S48" s="158">
        <f>SUM(G48:R48)</f>
        <v>164500</v>
      </c>
      <c r="T48" s="159"/>
      <c r="U48" s="160"/>
      <c r="V48" s="160"/>
      <c r="W48" s="148"/>
      <c r="X48" s="148"/>
      <c r="Y48" s="148"/>
      <c r="Z48" s="148"/>
      <c r="AA48" s="148"/>
      <c r="AB48" s="148"/>
      <c r="AC48" s="148"/>
      <c r="AD48" s="148"/>
      <c r="AE48" s="148"/>
      <c r="AF48" s="148"/>
      <c r="AG48" s="148"/>
      <c r="AH48" s="148"/>
      <c r="AI48" s="148"/>
      <c r="AJ48" s="148"/>
      <c r="AK48" s="148"/>
      <c r="AL48" s="148"/>
      <c r="AM48" s="148"/>
      <c r="AN48" s="148"/>
      <c r="AO48" s="148"/>
      <c r="AP48" s="148"/>
      <c r="AQ48" s="148"/>
      <c r="AR48" s="148"/>
      <c r="AS48" s="148"/>
      <c r="AT48" s="148"/>
      <c r="AU48" s="148"/>
      <c r="AV48" s="148"/>
      <c r="AW48" s="148"/>
      <c r="AX48" s="148"/>
      <c r="AY48" s="148"/>
      <c r="AZ48" s="148"/>
      <c r="BA48" s="148"/>
      <c r="BB48" s="148"/>
      <c r="BC48" s="148"/>
      <c r="BD48" s="148"/>
      <c r="BE48" s="148"/>
      <c r="BF48" s="148"/>
      <c r="BG48" s="148"/>
      <c r="BH48" s="148"/>
      <c r="BI48" s="148"/>
      <c r="BJ48" s="148"/>
      <c r="BK48" s="148"/>
      <c r="BL48" s="148"/>
      <c r="BM48" s="148"/>
      <c r="BN48" s="148"/>
      <c r="BO48" s="148"/>
    </row>
    <row r="49" spans="1:67" s="195" customFormat="1" ht="21" hidden="1" outlineLevel="1">
      <c r="A49" s="210"/>
      <c r="B49" s="196"/>
      <c r="C49" s="163"/>
      <c r="D49" s="163"/>
      <c r="E49" s="163"/>
      <c r="F49" s="163"/>
      <c r="G49" s="167">
        <f>154000/48</f>
        <v>3208.3333333333335</v>
      </c>
      <c r="H49" s="167">
        <f t="shared" ref="H49:R49" si="29">154000/48</f>
        <v>3208.3333333333335</v>
      </c>
      <c r="I49" s="167">
        <f t="shared" si="29"/>
        <v>3208.3333333333335</v>
      </c>
      <c r="J49" s="167">
        <f t="shared" si="29"/>
        <v>3208.3333333333335</v>
      </c>
      <c r="K49" s="167">
        <f t="shared" si="29"/>
        <v>3208.3333333333335</v>
      </c>
      <c r="L49" s="167">
        <f t="shared" si="29"/>
        <v>3208.3333333333335</v>
      </c>
      <c r="M49" s="167">
        <f t="shared" si="29"/>
        <v>3208.3333333333335</v>
      </c>
      <c r="N49" s="167">
        <f t="shared" si="29"/>
        <v>3208.3333333333335</v>
      </c>
      <c r="O49" s="167">
        <f t="shared" si="29"/>
        <v>3208.3333333333335</v>
      </c>
      <c r="P49" s="167">
        <f t="shared" si="29"/>
        <v>3208.3333333333335</v>
      </c>
      <c r="Q49" s="167">
        <f>154000/48</f>
        <v>3208.3333333333335</v>
      </c>
      <c r="R49" s="167">
        <f t="shared" si="29"/>
        <v>3208.3333333333335</v>
      </c>
      <c r="S49" s="167">
        <f t="shared" ref="S49:S53" si="30">SUM(G49:R49)</f>
        <v>38500</v>
      </c>
      <c r="T49" s="166"/>
      <c r="U49" s="167" t="s">
        <v>200</v>
      </c>
      <c r="V49" s="160"/>
      <c r="W49" s="148"/>
      <c r="X49" s="148"/>
      <c r="Y49" s="148"/>
      <c r="Z49" s="148"/>
      <c r="AA49" s="148"/>
      <c r="AB49" s="148"/>
      <c r="AC49" s="148"/>
      <c r="AD49" s="148"/>
      <c r="AE49" s="148"/>
      <c r="AF49" s="148"/>
      <c r="AG49" s="148"/>
      <c r="AH49" s="148"/>
      <c r="AI49" s="148"/>
      <c r="AJ49" s="148"/>
      <c r="AK49" s="148"/>
      <c r="AL49" s="148"/>
      <c r="AM49" s="148"/>
      <c r="AN49" s="148"/>
      <c r="AO49" s="148"/>
      <c r="AP49" s="148"/>
      <c r="AQ49" s="148"/>
      <c r="AR49" s="148"/>
      <c r="AS49" s="148"/>
      <c r="AT49" s="148"/>
      <c r="AU49" s="148"/>
      <c r="AV49" s="148"/>
      <c r="AW49" s="148"/>
      <c r="AX49" s="148"/>
      <c r="AY49" s="148"/>
      <c r="AZ49" s="148"/>
      <c r="BA49" s="148"/>
      <c r="BB49" s="148"/>
      <c r="BC49" s="148"/>
      <c r="BD49" s="148"/>
      <c r="BE49" s="148"/>
      <c r="BF49" s="148"/>
      <c r="BG49" s="148"/>
      <c r="BH49" s="148"/>
      <c r="BI49" s="148"/>
      <c r="BJ49" s="148"/>
      <c r="BK49" s="148"/>
      <c r="BL49" s="148"/>
      <c r="BM49" s="148"/>
      <c r="BN49" s="148"/>
      <c r="BO49" s="148"/>
    </row>
    <row r="50" spans="1:67" s="195" customFormat="1" ht="21" hidden="1" outlineLevel="1">
      <c r="A50" s="210"/>
      <c r="B50" s="196"/>
      <c r="C50" s="163"/>
      <c r="D50" s="163"/>
      <c r="E50" s="163"/>
      <c r="F50" s="163"/>
      <c r="G50" s="167">
        <f t="shared" ref="G50:R52" si="31">154000/48</f>
        <v>3208.3333333333335</v>
      </c>
      <c r="H50" s="167">
        <f t="shared" si="31"/>
        <v>3208.3333333333335</v>
      </c>
      <c r="I50" s="167">
        <f t="shared" si="31"/>
        <v>3208.3333333333335</v>
      </c>
      <c r="J50" s="167">
        <f t="shared" si="31"/>
        <v>3208.3333333333335</v>
      </c>
      <c r="K50" s="167">
        <f t="shared" si="31"/>
        <v>3208.3333333333335</v>
      </c>
      <c r="L50" s="167">
        <f t="shared" si="31"/>
        <v>3208.3333333333335</v>
      </c>
      <c r="M50" s="167">
        <f t="shared" si="31"/>
        <v>3208.3333333333335</v>
      </c>
      <c r="N50" s="167">
        <f t="shared" si="31"/>
        <v>3208.3333333333335</v>
      </c>
      <c r="O50" s="167">
        <f t="shared" si="31"/>
        <v>3208.3333333333335</v>
      </c>
      <c r="P50" s="167">
        <f t="shared" si="31"/>
        <v>3208.3333333333335</v>
      </c>
      <c r="Q50" s="167">
        <f t="shared" si="31"/>
        <v>3208.3333333333335</v>
      </c>
      <c r="R50" s="167">
        <f t="shared" si="31"/>
        <v>3208.3333333333335</v>
      </c>
      <c r="S50" s="167">
        <f t="shared" si="30"/>
        <v>38500</v>
      </c>
      <c r="T50" s="166"/>
      <c r="U50" s="167" t="s">
        <v>200</v>
      </c>
      <c r="V50" s="160"/>
      <c r="W50" s="148"/>
      <c r="X50" s="148"/>
      <c r="Y50" s="148"/>
      <c r="Z50" s="148"/>
      <c r="AA50" s="148"/>
      <c r="AB50" s="148"/>
      <c r="AC50" s="148"/>
      <c r="AD50" s="148"/>
      <c r="AE50" s="148"/>
      <c r="AF50" s="148"/>
      <c r="AG50" s="148"/>
      <c r="AH50" s="148"/>
      <c r="AI50" s="148"/>
      <c r="AJ50" s="148"/>
      <c r="AK50" s="148"/>
      <c r="AL50" s="148"/>
      <c r="AM50" s="148"/>
      <c r="AN50" s="148"/>
      <c r="AO50" s="148"/>
      <c r="AP50" s="148"/>
      <c r="AQ50" s="148"/>
      <c r="AR50" s="148"/>
      <c r="AS50" s="148"/>
      <c r="AT50" s="148"/>
      <c r="AU50" s="148"/>
      <c r="AV50" s="148"/>
      <c r="AW50" s="148"/>
      <c r="AX50" s="148"/>
      <c r="AY50" s="148"/>
      <c r="AZ50" s="148"/>
      <c r="BA50" s="148"/>
      <c r="BB50" s="148"/>
      <c r="BC50" s="148"/>
      <c r="BD50" s="148"/>
      <c r="BE50" s="148"/>
      <c r="BF50" s="148"/>
      <c r="BG50" s="148"/>
      <c r="BH50" s="148"/>
      <c r="BI50" s="148"/>
      <c r="BJ50" s="148"/>
      <c r="BK50" s="148"/>
      <c r="BL50" s="148"/>
      <c r="BM50" s="148"/>
      <c r="BN50" s="148"/>
      <c r="BO50" s="148"/>
    </row>
    <row r="51" spans="1:67" s="199" customFormat="1" ht="21" hidden="1" outlineLevel="1">
      <c r="A51" s="210"/>
      <c r="B51" s="196"/>
      <c r="C51" s="163"/>
      <c r="D51" s="163"/>
      <c r="E51" s="163"/>
      <c r="F51" s="163"/>
      <c r="G51" s="167">
        <f t="shared" si="31"/>
        <v>3208.3333333333335</v>
      </c>
      <c r="H51" s="167">
        <f t="shared" si="31"/>
        <v>3208.3333333333335</v>
      </c>
      <c r="I51" s="167">
        <f t="shared" si="31"/>
        <v>3208.3333333333335</v>
      </c>
      <c r="J51" s="167">
        <f t="shared" si="31"/>
        <v>3208.3333333333335</v>
      </c>
      <c r="K51" s="167">
        <f t="shared" si="31"/>
        <v>3208.3333333333335</v>
      </c>
      <c r="L51" s="167">
        <f t="shared" si="31"/>
        <v>3208.3333333333335</v>
      </c>
      <c r="M51" s="167">
        <f t="shared" si="31"/>
        <v>3208.3333333333335</v>
      </c>
      <c r="N51" s="167">
        <f t="shared" si="31"/>
        <v>3208.3333333333335</v>
      </c>
      <c r="O51" s="167">
        <f t="shared" si="31"/>
        <v>3208.3333333333335</v>
      </c>
      <c r="P51" s="167">
        <f t="shared" si="31"/>
        <v>3208.3333333333335</v>
      </c>
      <c r="Q51" s="167">
        <f t="shared" si="31"/>
        <v>3208.3333333333335</v>
      </c>
      <c r="R51" s="167">
        <f t="shared" si="31"/>
        <v>3208.3333333333335</v>
      </c>
      <c r="S51" s="167">
        <f t="shared" si="30"/>
        <v>38500</v>
      </c>
      <c r="T51" s="166"/>
      <c r="U51" s="167" t="s">
        <v>200</v>
      </c>
      <c r="V51" s="167"/>
      <c r="W51" s="148"/>
      <c r="X51" s="148"/>
      <c r="Y51" s="148"/>
      <c r="Z51" s="148"/>
      <c r="AA51" s="148"/>
      <c r="AB51" s="148"/>
      <c r="AC51" s="148"/>
      <c r="AD51" s="148"/>
      <c r="AE51" s="148"/>
      <c r="AF51" s="148"/>
      <c r="AG51" s="148"/>
      <c r="AH51" s="148"/>
      <c r="AI51" s="148"/>
      <c r="AJ51" s="148"/>
      <c r="AK51" s="148"/>
      <c r="AL51" s="148"/>
      <c r="AM51" s="148"/>
      <c r="AN51" s="148"/>
      <c r="AO51" s="148"/>
      <c r="AP51" s="148"/>
      <c r="AQ51" s="148"/>
      <c r="AR51" s="148"/>
      <c r="AS51" s="148"/>
      <c r="AT51" s="148"/>
      <c r="AU51" s="148"/>
      <c r="AV51" s="148"/>
      <c r="AW51" s="148"/>
      <c r="AX51" s="148"/>
      <c r="AY51" s="148"/>
      <c r="AZ51" s="148"/>
      <c r="BA51" s="148"/>
      <c r="BB51" s="148"/>
      <c r="BC51" s="148"/>
      <c r="BD51" s="148"/>
      <c r="BE51" s="148"/>
      <c r="BF51" s="148"/>
      <c r="BG51" s="148"/>
      <c r="BH51" s="148"/>
      <c r="BI51" s="148"/>
      <c r="BJ51" s="148"/>
      <c r="BK51" s="148"/>
      <c r="BL51" s="148"/>
      <c r="BM51" s="148"/>
      <c r="BN51" s="148"/>
      <c r="BO51" s="148"/>
    </row>
    <row r="52" spans="1:67" s="199" customFormat="1" ht="21" hidden="1" outlineLevel="1">
      <c r="A52" s="210"/>
      <c r="B52" s="196"/>
      <c r="C52" s="163"/>
      <c r="D52" s="163"/>
      <c r="E52" s="163"/>
      <c r="F52" s="163"/>
      <c r="G52" s="167">
        <f t="shared" si="31"/>
        <v>3208.3333333333335</v>
      </c>
      <c r="H52" s="167">
        <f t="shared" si="31"/>
        <v>3208.3333333333335</v>
      </c>
      <c r="I52" s="167">
        <f t="shared" si="31"/>
        <v>3208.3333333333335</v>
      </c>
      <c r="J52" s="167">
        <f t="shared" si="31"/>
        <v>3208.3333333333335</v>
      </c>
      <c r="K52" s="167">
        <f t="shared" si="31"/>
        <v>3208.3333333333335</v>
      </c>
      <c r="L52" s="167">
        <f t="shared" si="31"/>
        <v>3208.3333333333335</v>
      </c>
      <c r="M52" s="167">
        <f t="shared" si="31"/>
        <v>3208.3333333333335</v>
      </c>
      <c r="N52" s="167">
        <f t="shared" si="31"/>
        <v>3208.3333333333335</v>
      </c>
      <c r="O52" s="167">
        <f t="shared" si="31"/>
        <v>3208.3333333333335</v>
      </c>
      <c r="P52" s="167">
        <f t="shared" si="31"/>
        <v>3208.3333333333335</v>
      </c>
      <c r="Q52" s="167">
        <f t="shared" si="31"/>
        <v>3208.3333333333335</v>
      </c>
      <c r="R52" s="167">
        <f t="shared" si="31"/>
        <v>3208.3333333333335</v>
      </c>
      <c r="S52" s="167">
        <f t="shared" si="30"/>
        <v>38500</v>
      </c>
      <c r="T52" s="166"/>
      <c r="U52" s="167" t="s">
        <v>200</v>
      </c>
      <c r="V52" s="167"/>
      <c r="W52" s="148"/>
      <c r="X52" s="148"/>
      <c r="Y52" s="148"/>
      <c r="Z52" s="148"/>
      <c r="AA52" s="148"/>
      <c r="AB52" s="148"/>
      <c r="AC52" s="148"/>
      <c r="AD52" s="148"/>
      <c r="AE52" s="148"/>
      <c r="AF52" s="148"/>
      <c r="AG52" s="148"/>
      <c r="AH52" s="148"/>
      <c r="AI52" s="148"/>
      <c r="AJ52" s="148"/>
      <c r="AK52" s="148"/>
      <c r="AL52" s="148"/>
      <c r="AM52" s="148"/>
      <c r="AN52" s="148"/>
      <c r="AO52" s="148"/>
      <c r="AP52" s="148"/>
      <c r="AQ52" s="148"/>
      <c r="AR52" s="148"/>
      <c r="AS52" s="148"/>
      <c r="AT52" s="148"/>
      <c r="AU52" s="148"/>
      <c r="AV52" s="148"/>
      <c r="AW52" s="148"/>
      <c r="AX52" s="148"/>
      <c r="AY52" s="148"/>
      <c r="AZ52" s="148"/>
      <c r="BA52" s="148"/>
      <c r="BB52" s="148"/>
      <c r="BC52" s="148"/>
      <c r="BD52" s="148"/>
      <c r="BE52" s="148"/>
      <c r="BF52" s="148"/>
      <c r="BG52" s="148"/>
      <c r="BH52" s="148"/>
      <c r="BI52" s="148"/>
      <c r="BJ52" s="148"/>
      <c r="BK52" s="148"/>
      <c r="BL52" s="148"/>
      <c r="BM52" s="148"/>
      <c r="BN52" s="148"/>
      <c r="BO52" s="148"/>
    </row>
    <row r="53" spans="1:67" s="199" customFormat="1" ht="21" hidden="1" outlineLevel="1">
      <c r="A53" s="210"/>
      <c r="B53" s="196"/>
      <c r="C53" s="163"/>
      <c r="D53" s="163"/>
      <c r="E53" s="163"/>
      <c r="F53" s="163"/>
      <c r="G53" s="167"/>
      <c r="H53" s="167"/>
      <c r="I53" s="167"/>
      <c r="J53" s="167"/>
      <c r="K53" s="167"/>
      <c r="L53" s="167">
        <v>1500</v>
      </c>
      <c r="M53" s="167">
        <v>1500</v>
      </c>
      <c r="N53" s="167">
        <v>1500</v>
      </c>
      <c r="O53" s="167">
        <v>1500</v>
      </c>
      <c r="P53" s="167">
        <v>1500</v>
      </c>
      <c r="Q53" s="167">
        <v>1500</v>
      </c>
      <c r="R53" s="167">
        <v>1500</v>
      </c>
      <c r="S53" s="167">
        <f t="shared" si="30"/>
        <v>10500</v>
      </c>
      <c r="T53" s="166"/>
      <c r="U53" s="167" t="s">
        <v>205</v>
      </c>
      <c r="V53" s="167"/>
      <c r="W53" s="148"/>
      <c r="X53" s="148"/>
      <c r="Y53" s="148"/>
      <c r="Z53" s="148"/>
      <c r="AA53" s="148"/>
      <c r="AB53" s="148"/>
      <c r="AC53" s="148"/>
      <c r="AD53" s="148"/>
      <c r="AE53" s="148"/>
      <c r="AF53" s="148"/>
      <c r="AG53" s="148"/>
      <c r="AH53" s="148"/>
      <c r="AI53" s="148"/>
      <c r="AJ53" s="148"/>
      <c r="AK53" s="148"/>
      <c r="AL53" s="148"/>
      <c r="AM53" s="148"/>
      <c r="AN53" s="148"/>
      <c r="AO53" s="148"/>
      <c r="AP53" s="148"/>
      <c r="AQ53" s="148"/>
      <c r="AR53" s="148"/>
      <c r="AS53" s="148"/>
      <c r="AT53" s="148"/>
      <c r="AU53" s="148"/>
      <c r="AV53" s="148"/>
      <c r="AW53" s="148"/>
      <c r="AX53" s="148"/>
      <c r="AY53" s="148"/>
      <c r="AZ53" s="148"/>
      <c r="BA53" s="148"/>
      <c r="BB53" s="148"/>
      <c r="BC53" s="148"/>
      <c r="BD53" s="148"/>
      <c r="BE53" s="148"/>
      <c r="BF53" s="148"/>
      <c r="BG53" s="148"/>
      <c r="BH53" s="148"/>
      <c r="BI53" s="148"/>
      <c r="BJ53" s="148"/>
      <c r="BK53" s="148"/>
      <c r="BL53" s="148"/>
      <c r="BM53" s="148"/>
      <c r="BN53" s="148"/>
      <c r="BO53" s="148"/>
    </row>
    <row r="54" spans="1:67" ht="21">
      <c r="W54" s="148"/>
      <c r="X54" s="148"/>
      <c r="Y54" s="148"/>
      <c r="Z54" s="148"/>
      <c r="AA54" s="148"/>
      <c r="AB54" s="148"/>
      <c r="AC54" s="148"/>
      <c r="AD54" s="148"/>
      <c r="AE54" s="148"/>
      <c r="AF54" s="148"/>
      <c r="AG54" s="148"/>
      <c r="AH54" s="148"/>
      <c r="AI54" s="148"/>
      <c r="AJ54" s="148"/>
      <c r="AK54" s="148"/>
      <c r="AL54" s="148"/>
      <c r="AM54" s="148"/>
      <c r="AN54" s="148"/>
      <c r="AO54" s="148"/>
      <c r="AP54" s="148"/>
      <c r="AQ54" s="148"/>
      <c r="AR54" s="148"/>
      <c r="AS54" s="148"/>
      <c r="AT54" s="148"/>
      <c r="AU54" s="148"/>
      <c r="AV54" s="148"/>
      <c r="AW54" s="148"/>
      <c r="AX54" s="148"/>
      <c r="AY54" s="148"/>
      <c r="AZ54" s="148"/>
      <c r="BA54" s="148"/>
      <c r="BB54" s="148"/>
      <c r="BC54" s="148"/>
      <c r="BD54" s="148"/>
      <c r="BE54" s="148"/>
      <c r="BF54" s="148"/>
      <c r="BG54" s="148"/>
      <c r="BH54" s="148"/>
      <c r="BI54" s="148"/>
      <c r="BJ54" s="148"/>
      <c r="BK54" s="148"/>
      <c r="BL54" s="148"/>
      <c r="BM54" s="148"/>
      <c r="BN54" s="148"/>
      <c r="BO54" s="148"/>
    </row>
    <row r="55" spans="1:67" ht="21">
      <c r="P55" s="214" t="s">
        <v>237</v>
      </c>
      <c r="R55" s="215"/>
      <c r="S55" s="216">
        <f>SUM(S5,S6,S7,S9,S10,S12,S18,S20,S21,S22,S23,S24)</f>
        <v>953650</v>
      </c>
      <c r="T55" s="217"/>
      <c r="W55" s="148"/>
      <c r="X55" s="148"/>
      <c r="Y55" s="148"/>
      <c r="Z55" s="148"/>
      <c r="AA55" s="148"/>
      <c r="AB55" s="148"/>
      <c r="AC55" s="148"/>
      <c r="AD55" s="148"/>
      <c r="AE55" s="148"/>
      <c r="AF55" s="148"/>
      <c r="AG55" s="148"/>
      <c r="AH55" s="148"/>
      <c r="AI55" s="148"/>
      <c r="AJ55" s="148"/>
      <c r="AK55" s="148"/>
      <c r="AL55" s="148"/>
      <c r="AM55" s="148"/>
      <c r="AN55" s="148"/>
      <c r="AO55" s="148"/>
      <c r="AP55" s="148"/>
      <c r="AQ55" s="148"/>
      <c r="AR55" s="148"/>
      <c r="AS55" s="148"/>
      <c r="AT55" s="148"/>
      <c r="AU55" s="148"/>
      <c r="AV55" s="148"/>
      <c r="AW55" s="148"/>
      <c r="AX55" s="148"/>
      <c r="AY55" s="148"/>
      <c r="AZ55" s="148"/>
      <c r="BA55" s="148"/>
      <c r="BB55" s="148"/>
      <c r="BC55" s="148"/>
      <c r="BD55" s="148"/>
      <c r="BE55" s="148"/>
      <c r="BF55" s="148"/>
      <c r="BG55" s="148"/>
      <c r="BH55" s="148"/>
      <c r="BI55" s="148"/>
      <c r="BJ55" s="148"/>
      <c r="BK55" s="148"/>
      <c r="BL55" s="148"/>
      <c r="BM55" s="148"/>
      <c r="BN55" s="148"/>
      <c r="BO55" s="148"/>
    </row>
    <row r="56" spans="1:67" ht="21">
      <c r="Q56" s="215"/>
      <c r="R56" s="215"/>
      <c r="S56" s="215"/>
      <c r="W56" s="148"/>
      <c r="X56" s="148"/>
      <c r="Y56" s="148"/>
      <c r="Z56" s="148"/>
      <c r="AA56" s="148"/>
      <c r="AB56" s="148"/>
      <c r="AC56" s="148"/>
      <c r="AD56" s="148"/>
      <c r="AE56" s="148"/>
      <c r="AF56" s="148"/>
      <c r="AG56" s="148"/>
      <c r="AH56" s="148"/>
      <c r="AI56" s="148"/>
      <c r="AJ56" s="148"/>
      <c r="AK56" s="148"/>
      <c r="AL56" s="148"/>
      <c r="AM56" s="148"/>
      <c r="AN56" s="148"/>
      <c r="AO56" s="148"/>
      <c r="AP56" s="148"/>
      <c r="AQ56" s="148"/>
      <c r="AR56" s="148"/>
      <c r="AS56" s="148"/>
      <c r="AT56" s="148"/>
      <c r="AU56" s="148"/>
      <c r="AV56" s="148"/>
      <c r="AW56" s="148"/>
      <c r="AX56" s="148"/>
      <c r="AY56" s="148"/>
      <c r="AZ56" s="148"/>
      <c r="BA56" s="148"/>
      <c r="BB56" s="148"/>
      <c r="BC56" s="148"/>
      <c r="BD56" s="148"/>
      <c r="BE56" s="148"/>
      <c r="BF56" s="148"/>
      <c r="BG56" s="148"/>
      <c r="BH56" s="148"/>
      <c r="BI56" s="148"/>
      <c r="BJ56" s="148"/>
      <c r="BK56" s="148"/>
      <c r="BL56" s="148"/>
      <c r="BM56" s="148"/>
      <c r="BN56" s="148"/>
      <c r="BO56" s="148"/>
    </row>
  </sheetData>
  <pageMargins left="0.7" right="0.7" top="0.75" bottom="0.75" header="0.3" footer="0.3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5EC1F2-A4D6-40C3-9CA6-AC1346BB7385}">
  <dimension ref="A1:H12"/>
  <sheetViews>
    <sheetView workbookViewId="0">
      <selection activeCell="N21" sqref="N21"/>
    </sheetView>
  </sheetViews>
  <sheetFormatPr defaultRowHeight="13.2"/>
  <cols>
    <col min="1" max="1" width="12.44140625" customWidth="1"/>
    <col min="2" max="2" width="12.21875" customWidth="1"/>
    <col min="3" max="3" width="14.44140625" customWidth="1"/>
    <col min="4" max="4" width="13.33203125" customWidth="1"/>
    <col min="5" max="5" width="4.77734375" customWidth="1"/>
    <col min="6" max="6" width="13.77734375" customWidth="1"/>
    <col min="7" max="7" width="10.5546875" customWidth="1"/>
    <col min="8" max="8" width="12.5546875" customWidth="1"/>
  </cols>
  <sheetData>
    <row r="1" spans="1:8" s="119" customFormat="1" ht="14.4">
      <c r="A1" s="255" t="s">
        <v>266</v>
      </c>
      <c r="B1" s="255" t="s">
        <v>272</v>
      </c>
      <c r="C1" s="255" t="s">
        <v>273</v>
      </c>
      <c r="D1" s="255" t="s">
        <v>274</v>
      </c>
      <c r="E1" s="256"/>
      <c r="F1" s="255" t="s">
        <v>275</v>
      </c>
      <c r="G1" s="255" t="s">
        <v>273</v>
      </c>
      <c r="H1" s="255" t="s">
        <v>276</v>
      </c>
    </row>
    <row r="2" spans="1:8">
      <c r="A2" s="257" t="s">
        <v>277</v>
      </c>
      <c r="B2" s="258">
        <v>43680</v>
      </c>
      <c r="C2" s="258"/>
      <c r="D2" s="258">
        <v>0</v>
      </c>
      <c r="E2" s="259"/>
      <c r="F2" s="258">
        <v>45435</v>
      </c>
      <c r="G2" s="258"/>
      <c r="H2" s="258">
        <v>500</v>
      </c>
    </row>
    <row r="3" spans="1:8">
      <c r="A3" s="257" t="s">
        <v>267</v>
      </c>
      <c r="B3" s="258">
        <v>52786</v>
      </c>
      <c r="C3" s="258"/>
      <c r="D3" s="258">
        <v>4000</v>
      </c>
      <c r="E3" s="259"/>
      <c r="F3" s="258">
        <v>58000</v>
      </c>
      <c r="G3" s="258"/>
      <c r="H3" s="258">
        <v>4000</v>
      </c>
    </row>
    <row r="4" spans="1:8">
      <c r="A4" s="257" t="s">
        <v>268</v>
      </c>
      <c r="B4" s="258">
        <v>72500</v>
      </c>
      <c r="C4" s="258"/>
      <c r="D4" s="258">
        <v>0</v>
      </c>
      <c r="E4" s="259"/>
      <c r="F4" s="258">
        <v>75000</v>
      </c>
      <c r="G4" s="258"/>
      <c r="H4" s="258">
        <v>0</v>
      </c>
    </row>
    <row r="5" spans="1:8">
      <c r="A5" s="257" t="s">
        <v>269</v>
      </c>
      <c r="B5" s="258">
        <v>50486</v>
      </c>
      <c r="C5" s="258"/>
      <c r="D5" s="258">
        <v>1000</v>
      </c>
      <c r="E5" s="259"/>
      <c r="F5" s="258">
        <v>50486</v>
      </c>
      <c r="G5" s="258"/>
      <c r="H5" s="258">
        <v>0</v>
      </c>
    </row>
    <row r="6" spans="1:8">
      <c r="A6" s="257" t="s">
        <v>278</v>
      </c>
      <c r="B6" s="258"/>
      <c r="C6" s="258">
        <v>28.85</v>
      </c>
      <c r="D6" s="258">
        <v>1500</v>
      </c>
      <c r="E6" s="259"/>
      <c r="F6" s="258"/>
      <c r="G6" s="258">
        <v>30</v>
      </c>
      <c r="H6" s="258">
        <v>1500</v>
      </c>
    </row>
    <row r="7" spans="1:8">
      <c r="A7" s="257" t="s">
        <v>270</v>
      </c>
      <c r="B7" s="258">
        <v>54000</v>
      </c>
      <c r="C7" s="258"/>
      <c r="D7" s="258">
        <v>0</v>
      </c>
      <c r="E7" s="259"/>
      <c r="F7" s="258">
        <v>54000</v>
      </c>
      <c r="G7" s="258"/>
      <c r="H7" s="258">
        <v>200</v>
      </c>
    </row>
    <row r="8" spans="1:8">
      <c r="A8" s="257" t="s">
        <v>279</v>
      </c>
      <c r="B8" s="258"/>
      <c r="C8" s="258">
        <v>31.05</v>
      </c>
      <c r="D8" s="258">
        <v>3000</v>
      </c>
      <c r="E8" s="259"/>
      <c r="F8" s="258"/>
      <c r="G8" s="258">
        <v>40</v>
      </c>
      <c r="H8" s="258">
        <v>0</v>
      </c>
    </row>
    <row r="9" spans="1:8">
      <c r="A9" s="257" t="s">
        <v>280</v>
      </c>
      <c r="B9" s="258">
        <v>54000</v>
      </c>
      <c r="C9" s="258"/>
      <c r="D9" s="258">
        <v>2500</v>
      </c>
      <c r="E9" s="259"/>
      <c r="F9" s="258">
        <v>57240</v>
      </c>
      <c r="G9" s="258"/>
      <c r="H9" s="258">
        <v>2500</v>
      </c>
    </row>
    <row r="10" spans="1:8">
      <c r="A10" s="257" t="s">
        <v>271</v>
      </c>
      <c r="B10" s="258"/>
      <c r="C10" s="258">
        <v>20</v>
      </c>
      <c r="D10" s="258">
        <v>500</v>
      </c>
      <c r="E10" s="260"/>
      <c r="F10" s="258"/>
      <c r="G10" s="258">
        <v>20</v>
      </c>
      <c r="H10" s="258">
        <v>500</v>
      </c>
    </row>
    <row r="12" spans="1:8">
      <c r="B12" s="120">
        <f>SUM(B2:B10)</f>
        <v>327452</v>
      </c>
      <c r="F12" s="120">
        <f>SUM(F2:F10)</f>
        <v>340161</v>
      </c>
    </row>
  </sheetData>
  <pageMargins left="0.7" right="0.7" top="0.75" bottom="0.75" header="0.3" footer="0.3"/>
  <legacy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FBB86A-679C-466D-9D80-B443996EFB06}">
  <dimension ref="A1:H34"/>
  <sheetViews>
    <sheetView workbookViewId="0">
      <selection activeCell="G27" sqref="G27"/>
    </sheetView>
  </sheetViews>
  <sheetFormatPr defaultRowHeight="13.2"/>
  <cols>
    <col min="1" max="1" width="35.44140625" customWidth="1"/>
    <col min="2" max="3" width="9.77734375" bestFit="1" customWidth="1"/>
    <col min="4" max="5" width="12.44140625" bestFit="1" customWidth="1"/>
    <col min="6" max="6" width="16.33203125" customWidth="1"/>
    <col min="7" max="7" width="9.44140625" style="282" customWidth="1"/>
    <col min="8" max="8" width="41.88671875" customWidth="1"/>
  </cols>
  <sheetData>
    <row r="1" spans="1:8" ht="28.8">
      <c r="A1" s="261" t="s">
        <v>281</v>
      </c>
      <c r="B1" s="261" t="s">
        <v>282</v>
      </c>
      <c r="C1" s="261" t="s">
        <v>283</v>
      </c>
      <c r="D1" s="262" t="s">
        <v>149</v>
      </c>
      <c r="E1" s="262" t="s">
        <v>284</v>
      </c>
      <c r="F1" s="262" t="s">
        <v>285</v>
      </c>
      <c r="G1" s="263" t="s">
        <v>286</v>
      </c>
      <c r="H1" s="264" t="s">
        <v>172</v>
      </c>
    </row>
    <row r="2" spans="1:8" ht="14.4">
      <c r="A2" s="265" t="s">
        <v>287</v>
      </c>
      <c r="B2" s="265" t="s">
        <v>51</v>
      </c>
      <c r="C2" s="265" t="s">
        <v>52</v>
      </c>
      <c r="D2" s="266">
        <v>1500</v>
      </c>
      <c r="E2" s="266">
        <f>SUM(D2*0.1)+D2</f>
        <v>1650</v>
      </c>
      <c r="F2" s="266">
        <f>SUM(E2+1200)</f>
        <v>2850</v>
      </c>
      <c r="G2" s="267">
        <v>45658</v>
      </c>
      <c r="H2" s="268"/>
    </row>
    <row r="3" spans="1:8" ht="14.4">
      <c r="A3" s="265" t="s">
        <v>288</v>
      </c>
      <c r="B3" s="265" t="s">
        <v>52</v>
      </c>
      <c r="C3" s="265" t="s">
        <v>54</v>
      </c>
      <c r="D3" s="266">
        <v>21900</v>
      </c>
      <c r="E3" s="266">
        <f t="shared" ref="E3:E23" si="0">SUM(D3*0.1)+D3</f>
        <v>24090</v>
      </c>
      <c r="F3" s="266">
        <f t="shared" ref="F3:F23" si="1">SUM(E3+1200)</f>
        <v>25290</v>
      </c>
      <c r="G3" s="267">
        <v>45707</v>
      </c>
      <c r="H3" s="268"/>
    </row>
    <row r="4" spans="1:8" ht="14.4">
      <c r="A4" s="265" t="s">
        <v>289</v>
      </c>
      <c r="B4" s="265" t="s">
        <v>52</v>
      </c>
      <c r="C4" s="265" t="s">
        <v>54</v>
      </c>
      <c r="D4" s="266">
        <v>4000</v>
      </c>
      <c r="E4" s="266">
        <f t="shared" si="0"/>
        <v>4400</v>
      </c>
      <c r="F4" s="266">
        <f t="shared" si="1"/>
        <v>5600</v>
      </c>
      <c r="G4" s="267">
        <v>45712</v>
      </c>
      <c r="H4" s="268"/>
    </row>
    <row r="5" spans="1:8" ht="14.4">
      <c r="A5" s="269" t="s">
        <v>290</v>
      </c>
      <c r="B5" s="269" t="s">
        <v>53</v>
      </c>
      <c r="C5" s="269" t="s">
        <v>54</v>
      </c>
      <c r="D5" s="270">
        <v>42000</v>
      </c>
      <c r="E5" s="266">
        <f t="shared" si="0"/>
        <v>46200</v>
      </c>
      <c r="F5" s="266">
        <f t="shared" si="1"/>
        <v>47400</v>
      </c>
      <c r="G5" s="271">
        <v>45735</v>
      </c>
    </row>
    <row r="6" spans="1:8" ht="14.4">
      <c r="A6" s="269" t="s">
        <v>291</v>
      </c>
      <c r="B6" s="269" t="s">
        <v>54</v>
      </c>
      <c r="C6" s="269" t="s">
        <v>55</v>
      </c>
      <c r="D6" s="270">
        <v>18000</v>
      </c>
      <c r="E6" s="266">
        <f t="shared" si="0"/>
        <v>19800</v>
      </c>
      <c r="F6" s="266">
        <f t="shared" si="1"/>
        <v>21000</v>
      </c>
      <c r="G6" s="271">
        <v>45756</v>
      </c>
    </row>
    <row r="7" spans="1:8" ht="14.4">
      <c r="A7" s="269" t="s">
        <v>292</v>
      </c>
      <c r="B7" s="269" t="s">
        <v>54</v>
      </c>
      <c r="C7" s="269" t="s">
        <v>56</v>
      </c>
      <c r="D7" s="270">
        <v>4000</v>
      </c>
      <c r="E7" s="266">
        <f t="shared" si="0"/>
        <v>4400</v>
      </c>
      <c r="F7" s="266">
        <f t="shared" si="1"/>
        <v>5600</v>
      </c>
      <c r="G7" s="271" t="s">
        <v>54</v>
      </c>
    </row>
    <row r="8" spans="1:8" ht="14.4">
      <c r="A8" s="269" t="s">
        <v>293</v>
      </c>
      <c r="B8" s="269" t="s">
        <v>54</v>
      </c>
      <c r="C8" s="269" t="s">
        <v>56</v>
      </c>
      <c r="D8" s="270">
        <v>3500</v>
      </c>
      <c r="E8" s="266">
        <f t="shared" si="0"/>
        <v>3850</v>
      </c>
      <c r="F8" s="266">
        <f t="shared" si="1"/>
        <v>5050</v>
      </c>
      <c r="G8" s="271">
        <v>45773</v>
      </c>
    </row>
    <row r="9" spans="1:8" ht="14.4">
      <c r="A9" s="269" t="s">
        <v>294</v>
      </c>
      <c r="B9" s="269" t="s">
        <v>57</v>
      </c>
      <c r="C9" s="269" t="s">
        <v>58</v>
      </c>
      <c r="D9" s="270">
        <v>6500</v>
      </c>
      <c r="E9" s="266">
        <f t="shared" si="0"/>
        <v>7150</v>
      </c>
      <c r="F9" s="266">
        <f t="shared" si="1"/>
        <v>8350</v>
      </c>
      <c r="G9" s="271" t="s">
        <v>57</v>
      </c>
    </row>
    <row r="10" spans="1:8" ht="14.4">
      <c r="A10" s="269" t="s">
        <v>295</v>
      </c>
      <c r="B10" s="269" t="s">
        <v>56</v>
      </c>
      <c r="C10" s="269" t="s">
        <v>58</v>
      </c>
      <c r="D10" s="270">
        <v>1500</v>
      </c>
      <c r="E10" s="266">
        <f t="shared" si="0"/>
        <v>1650</v>
      </c>
      <c r="F10" s="266">
        <f t="shared" si="1"/>
        <v>2850</v>
      </c>
      <c r="G10" s="271" t="s">
        <v>56</v>
      </c>
    </row>
    <row r="11" spans="1:8" ht="14.4">
      <c r="A11" s="269" t="s">
        <v>296</v>
      </c>
      <c r="B11" s="269" t="s">
        <v>57</v>
      </c>
      <c r="C11" s="269" t="s">
        <v>58</v>
      </c>
      <c r="D11" s="270">
        <v>10500</v>
      </c>
      <c r="E11" s="266">
        <f t="shared" si="0"/>
        <v>11550</v>
      </c>
      <c r="F11" s="266">
        <f t="shared" si="1"/>
        <v>12750</v>
      </c>
      <c r="G11" s="271" t="s">
        <v>57</v>
      </c>
    </row>
    <row r="12" spans="1:8" ht="14.4">
      <c r="A12" s="269" t="s">
        <v>297</v>
      </c>
      <c r="B12" s="269" t="s">
        <v>58</v>
      </c>
      <c r="C12" s="269" t="s">
        <v>60</v>
      </c>
      <c r="D12" s="270">
        <v>2600</v>
      </c>
      <c r="E12" s="266">
        <f t="shared" si="0"/>
        <v>2860</v>
      </c>
      <c r="F12" s="266">
        <f t="shared" si="1"/>
        <v>4060</v>
      </c>
      <c r="G12" s="271" t="s">
        <v>58</v>
      </c>
    </row>
    <row r="13" spans="1:8" ht="14.4">
      <c r="A13" s="269" t="s">
        <v>298</v>
      </c>
      <c r="B13" s="269" t="s">
        <v>58</v>
      </c>
      <c r="C13" s="269" t="s">
        <v>59</v>
      </c>
      <c r="D13" s="270">
        <v>500</v>
      </c>
      <c r="E13" s="266">
        <f t="shared" si="0"/>
        <v>550</v>
      </c>
      <c r="F13" s="266">
        <f t="shared" si="1"/>
        <v>1750</v>
      </c>
      <c r="G13" s="271" t="s">
        <v>58</v>
      </c>
    </row>
    <row r="14" spans="1:8" ht="14.4">
      <c r="A14" s="269" t="s">
        <v>299</v>
      </c>
      <c r="B14" s="269" t="s">
        <v>58</v>
      </c>
      <c r="C14" s="269" t="s">
        <v>59</v>
      </c>
      <c r="D14" s="272">
        <v>15000</v>
      </c>
      <c r="E14" s="266">
        <f t="shared" si="0"/>
        <v>16500</v>
      </c>
      <c r="F14" s="266">
        <f t="shared" si="1"/>
        <v>17700</v>
      </c>
      <c r="G14" s="271" t="s">
        <v>58</v>
      </c>
    </row>
    <row r="15" spans="1:8" ht="14.4">
      <c r="A15" s="269" t="s">
        <v>300</v>
      </c>
      <c r="B15" s="269" t="s">
        <v>58</v>
      </c>
      <c r="C15" s="269" t="s">
        <v>60</v>
      </c>
      <c r="D15" s="270">
        <v>15500</v>
      </c>
      <c r="E15" s="266">
        <f t="shared" si="0"/>
        <v>17050</v>
      </c>
      <c r="F15" s="266">
        <f t="shared" si="1"/>
        <v>18250</v>
      </c>
      <c r="G15" s="271" t="s">
        <v>58</v>
      </c>
    </row>
    <row r="16" spans="1:8" ht="14.4">
      <c r="A16" s="269" t="s">
        <v>301</v>
      </c>
      <c r="B16" s="269" t="s">
        <v>59</v>
      </c>
      <c r="C16" s="269" t="s">
        <v>61</v>
      </c>
      <c r="D16" s="270">
        <v>4000</v>
      </c>
      <c r="E16" s="266">
        <f t="shared" si="0"/>
        <v>4400</v>
      </c>
      <c r="F16" s="266">
        <f t="shared" si="1"/>
        <v>5600</v>
      </c>
      <c r="G16" s="271" t="s">
        <v>59</v>
      </c>
    </row>
    <row r="17" spans="1:7" ht="14.4">
      <c r="A17" s="269" t="s">
        <v>302</v>
      </c>
      <c r="B17" s="269" t="s">
        <v>59</v>
      </c>
      <c r="C17" s="269" t="s">
        <v>61</v>
      </c>
      <c r="D17" s="270">
        <v>1000</v>
      </c>
      <c r="E17" s="266">
        <f t="shared" si="0"/>
        <v>1100</v>
      </c>
      <c r="F17" s="266">
        <f t="shared" si="1"/>
        <v>2300</v>
      </c>
      <c r="G17" s="271"/>
    </row>
    <row r="18" spans="1:7" ht="14.4">
      <c r="A18" s="269" t="s">
        <v>303</v>
      </c>
      <c r="B18" s="269" t="s">
        <v>60</v>
      </c>
      <c r="C18" s="269" t="s">
        <v>61</v>
      </c>
      <c r="D18" s="270">
        <v>1500</v>
      </c>
      <c r="E18" s="266">
        <f t="shared" si="0"/>
        <v>1650</v>
      </c>
      <c r="F18" s="266">
        <f t="shared" si="1"/>
        <v>2850</v>
      </c>
      <c r="G18" s="271" t="s">
        <v>304</v>
      </c>
    </row>
    <row r="19" spans="1:7" ht="14.4">
      <c r="A19" s="269" t="s">
        <v>305</v>
      </c>
      <c r="B19" s="269" t="s">
        <v>60</v>
      </c>
      <c r="C19" s="269" t="s">
        <v>61</v>
      </c>
      <c r="D19" s="270">
        <v>10500</v>
      </c>
      <c r="E19" s="266">
        <f t="shared" si="0"/>
        <v>11550</v>
      </c>
      <c r="F19" s="266">
        <f t="shared" si="1"/>
        <v>12750</v>
      </c>
      <c r="G19" s="271">
        <v>45938</v>
      </c>
    </row>
    <row r="20" spans="1:7" ht="14.4">
      <c r="A20" s="269" t="s">
        <v>306</v>
      </c>
      <c r="B20" s="269" t="s">
        <v>58</v>
      </c>
      <c r="C20" s="269" t="s">
        <v>59</v>
      </c>
      <c r="D20" s="270">
        <v>1000</v>
      </c>
      <c r="E20" s="266">
        <f t="shared" si="0"/>
        <v>1100</v>
      </c>
      <c r="F20" s="266">
        <f t="shared" si="1"/>
        <v>2300</v>
      </c>
      <c r="G20" s="271" t="s">
        <v>58</v>
      </c>
    </row>
    <row r="21" spans="1:7" ht="14.4">
      <c r="A21" s="269" t="s">
        <v>307</v>
      </c>
      <c r="B21" s="269" t="s">
        <v>50</v>
      </c>
      <c r="C21" s="269" t="s">
        <v>50</v>
      </c>
      <c r="D21" s="270">
        <v>500</v>
      </c>
      <c r="E21" s="266">
        <f t="shared" si="0"/>
        <v>550</v>
      </c>
      <c r="F21" s="266">
        <f t="shared" si="1"/>
        <v>1750</v>
      </c>
      <c r="G21" s="271" t="s">
        <v>50</v>
      </c>
    </row>
    <row r="22" spans="1:7" ht="14.4">
      <c r="A22" s="269" t="s">
        <v>308</v>
      </c>
      <c r="B22" s="269" t="s">
        <v>309</v>
      </c>
      <c r="C22" s="269"/>
      <c r="D22" s="270">
        <v>1500</v>
      </c>
      <c r="E22" s="266">
        <f t="shared" si="0"/>
        <v>1650</v>
      </c>
      <c r="F22" s="266">
        <f t="shared" si="1"/>
        <v>2850</v>
      </c>
      <c r="G22" s="271" t="s">
        <v>309</v>
      </c>
    </row>
    <row r="23" spans="1:7" ht="14.4">
      <c r="A23" s="269" t="s">
        <v>310</v>
      </c>
      <c r="B23" s="269" t="s">
        <v>50</v>
      </c>
      <c r="C23" s="269" t="s">
        <v>50</v>
      </c>
      <c r="D23" s="270">
        <v>10000</v>
      </c>
      <c r="E23" s="266">
        <f t="shared" si="0"/>
        <v>11000</v>
      </c>
      <c r="F23" s="266">
        <f t="shared" si="1"/>
        <v>12200</v>
      </c>
      <c r="G23" s="271">
        <v>45994</v>
      </c>
    </row>
    <row r="24" spans="1:7" ht="14.4">
      <c r="A24" s="273"/>
      <c r="B24" s="121"/>
      <c r="C24" s="121"/>
      <c r="D24" s="274">
        <f>SUM(D2:D23)</f>
        <v>177000</v>
      </c>
      <c r="E24" s="274">
        <f>SUM(E2:E23)</f>
        <v>194700</v>
      </c>
      <c r="F24" s="274">
        <f>SUM(F2:F23)</f>
        <v>221100</v>
      </c>
      <c r="G24" s="275"/>
    </row>
    <row r="25" spans="1:7" ht="16.2">
      <c r="A25" s="276" t="s">
        <v>311</v>
      </c>
      <c r="B25" s="269" t="s">
        <v>50</v>
      </c>
      <c r="C25" s="269" t="s">
        <v>50</v>
      </c>
      <c r="D25" s="277">
        <v>35000</v>
      </c>
      <c r="E25" s="278"/>
      <c r="F25" s="278"/>
      <c r="G25" s="271"/>
    </row>
    <row r="26" spans="1:7" ht="14.4">
      <c r="A26" s="279"/>
      <c r="B26" s="279"/>
      <c r="C26" s="279"/>
      <c r="D26" s="274">
        <f>SUM(D24:D25)</f>
        <v>212000</v>
      </c>
      <c r="E26" s="280"/>
      <c r="F26" s="280"/>
      <c r="G26" s="271"/>
    </row>
    <row r="27" spans="1:7" ht="14.4">
      <c r="A27" s="121" t="s">
        <v>312</v>
      </c>
      <c r="E27" s="280"/>
      <c r="F27" s="280"/>
      <c r="G27" s="271"/>
    </row>
    <row r="28" spans="1:7" ht="14.4">
      <c r="A28" s="279" t="s">
        <v>313</v>
      </c>
      <c r="B28" s="279" t="s">
        <v>54</v>
      </c>
      <c r="D28" s="281">
        <v>2000</v>
      </c>
    </row>
    <row r="29" spans="1:7" ht="14.4">
      <c r="A29" s="279" t="s">
        <v>313</v>
      </c>
      <c r="B29" s="279" t="s">
        <v>56</v>
      </c>
      <c r="D29" s="281">
        <v>2000</v>
      </c>
    </row>
    <row r="30" spans="1:7" ht="14.4">
      <c r="A30" s="279" t="s">
        <v>313</v>
      </c>
      <c r="B30" s="279" t="s">
        <v>58</v>
      </c>
      <c r="D30" s="281">
        <v>5000</v>
      </c>
    </row>
    <row r="31" spans="1:7" ht="14.4">
      <c r="A31" s="279" t="s">
        <v>313</v>
      </c>
      <c r="B31" s="279" t="s">
        <v>60</v>
      </c>
      <c r="D31" s="281">
        <v>1500</v>
      </c>
    </row>
    <row r="32" spans="1:7" ht="14.4">
      <c r="A32" s="279" t="s">
        <v>313</v>
      </c>
      <c r="B32" s="279" t="s">
        <v>50</v>
      </c>
      <c r="D32" s="283">
        <v>3500</v>
      </c>
    </row>
    <row r="33" spans="4:4" ht="16.2">
      <c r="D33" s="284">
        <f>SUM(D28:D32)</f>
        <v>14000</v>
      </c>
    </row>
    <row r="34" spans="4:4" ht="14.4">
      <c r="D34" s="254">
        <f>SUM(D33+D26)</f>
        <v>226000</v>
      </c>
    </row>
  </sheetData>
  <pageMargins left="0.7" right="0.7" top="0.75" bottom="0.75" header="0.3" footer="0.3"/>
  <legacy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72"/>
  <sheetViews>
    <sheetView topLeftCell="A22" zoomScale="70" zoomScaleNormal="70" workbookViewId="0">
      <selection activeCell="B56" sqref="B56:M65"/>
    </sheetView>
  </sheetViews>
  <sheetFormatPr defaultRowHeight="13.2"/>
  <cols>
    <col min="1" max="1" width="25" customWidth="1"/>
    <col min="2" max="2" width="9.109375"/>
    <col min="3" max="3" width="10.44140625" customWidth="1"/>
    <col min="4" max="7" width="9.109375"/>
    <col min="8" max="8" width="10.6640625" customWidth="1"/>
    <col min="9" max="12" width="9.109375"/>
    <col min="13" max="13" width="9.109375" style="85"/>
    <col min="14" max="14" width="11.33203125" customWidth="1"/>
    <col min="15" max="15" width="8.6640625" style="85" customWidth="1"/>
    <col min="16" max="16" width="9.109375"/>
  </cols>
  <sheetData>
    <row r="1" spans="1:16">
      <c r="A1" s="39"/>
      <c r="B1" s="40" t="s">
        <v>51</v>
      </c>
      <c r="C1" s="4" t="s">
        <v>120</v>
      </c>
      <c r="D1" s="4" t="s">
        <v>53</v>
      </c>
      <c r="E1" s="4" t="s">
        <v>54</v>
      </c>
      <c r="F1" s="4" t="s">
        <v>55</v>
      </c>
      <c r="G1" s="4" t="s">
        <v>56</v>
      </c>
      <c r="H1" s="4" t="s">
        <v>57</v>
      </c>
      <c r="I1" s="22" t="s">
        <v>58</v>
      </c>
      <c r="J1" s="4" t="s">
        <v>121</v>
      </c>
      <c r="K1" s="4" t="s">
        <v>126</v>
      </c>
      <c r="L1" s="4" t="s">
        <v>122</v>
      </c>
      <c r="M1" s="4" t="s">
        <v>123</v>
      </c>
      <c r="N1" s="85" t="s">
        <v>103</v>
      </c>
      <c r="O1"/>
      <c r="P1" s="85"/>
    </row>
    <row r="2" spans="1:16">
      <c r="A2" s="42" t="s">
        <v>65</v>
      </c>
      <c r="B2" s="47"/>
      <c r="C2" s="23"/>
      <c r="M2"/>
      <c r="N2" s="96"/>
      <c r="O2"/>
    </row>
    <row r="3" spans="1:16">
      <c r="A3" s="46" t="s">
        <v>66</v>
      </c>
      <c r="B3" s="47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96">
        <f t="shared" ref="N3:N66" si="0">SUM(B3:M3)</f>
        <v>0</v>
      </c>
      <c r="O3"/>
    </row>
    <row r="4" spans="1:16">
      <c r="A4" s="46" t="s">
        <v>67</v>
      </c>
      <c r="B4" s="47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96">
        <f t="shared" si="0"/>
        <v>0</v>
      </c>
      <c r="O4"/>
    </row>
    <row r="5" spans="1:16">
      <c r="A5" s="46" t="s">
        <v>68</v>
      </c>
      <c r="B5" s="97"/>
      <c r="C5" s="98"/>
      <c r="D5" s="98"/>
      <c r="E5" s="98"/>
      <c r="F5" s="98"/>
      <c r="G5" s="98"/>
      <c r="H5" s="98"/>
      <c r="I5" s="98"/>
      <c r="J5" s="98"/>
      <c r="K5" s="98"/>
      <c r="L5" s="98"/>
      <c r="M5" s="98"/>
      <c r="N5" s="96">
        <f t="shared" si="0"/>
        <v>0</v>
      </c>
      <c r="O5"/>
    </row>
    <row r="6" spans="1:16">
      <c r="A6" s="46" t="s">
        <v>69</v>
      </c>
      <c r="B6" s="47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96">
        <f t="shared" si="0"/>
        <v>0</v>
      </c>
      <c r="O6"/>
    </row>
    <row r="7" spans="1:16">
      <c r="A7" s="46" t="s">
        <v>139</v>
      </c>
      <c r="B7" s="9"/>
      <c r="C7" s="31"/>
      <c r="D7" s="31"/>
      <c r="E7" s="35"/>
      <c r="F7" s="35"/>
      <c r="G7" s="35"/>
      <c r="H7" s="35"/>
      <c r="I7" s="35"/>
      <c r="J7" s="35"/>
      <c r="K7" s="35"/>
      <c r="L7" s="35"/>
      <c r="M7" s="35"/>
      <c r="N7" s="96">
        <f t="shared" si="0"/>
        <v>0</v>
      </c>
      <c r="O7"/>
    </row>
    <row r="8" spans="1:16">
      <c r="A8" s="46" t="s">
        <v>138</v>
      </c>
      <c r="B8" s="9"/>
      <c r="C8" s="31"/>
      <c r="D8" s="31"/>
      <c r="E8" s="35"/>
      <c r="F8" s="35"/>
      <c r="G8" s="35"/>
      <c r="H8" s="35"/>
      <c r="I8" s="35"/>
      <c r="J8" s="35"/>
      <c r="K8" s="35"/>
      <c r="L8" s="35"/>
      <c r="M8" s="35"/>
      <c r="N8" s="96">
        <f t="shared" si="0"/>
        <v>0</v>
      </c>
      <c r="O8"/>
    </row>
    <row r="9" spans="1:16">
      <c r="A9" s="46" t="s">
        <v>140</v>
      </c>
      <c r="B9" s="9"/>
      <c r="C9" s="31"/>
      <c r="D9" s="31"/>
      <c r="E9" s="35"/>
      <c r="F9" s="35"/>
      <c r="G9" s="35"/>
      <c r="H9" s="35"/>
      <c r="I9" s="35"/>
      <c r="J9" s="35"/>
      <c r="K9" s="35"/>
      <c r="L9" s="35"/>
      <c r="M9" s="35"/>
      <c r="N9" s="96">
        <f t="shared" si="0"/>
        <v>0</v>
      </c>
      <c r="O9"/>
    </row>
    <row r="10" spans="1:16">
      <c r="A10" s="136" t="s">
        <v>137</v>
      </c>
      <c r="B10" s="111"/>
      <c r="C10" s="106"/>
      <c r="D10" s="106"/>
      <c r="E10" s="106"/>
      <c r="F10" s="106"/>
      <c r="G10" s="106"/>
      <c r="H10" s="106"/>
      <c r="I10" s="106"/>
      <c r="J10" s="106"/>
      <c r="K10" s="106"/>
      <c r="L10" s="106"/>
      <c r="M10" s="106"/>
      <c r="N10" s="96">
        <f t="shared" si="0"/>
        <v>0</v>
      </c>
      <c r="O10"/>
    </row>
    <row r="11" spans="1:16">
      <c r="A11" s="46" t="s">
        <v>130</v>
      </c>
      <c r="B11" s="97"/>
      <c r="C11" s="98"/>
      <c r="D11" s="98"/>
      <c r="E11" s="98"/>
      <c r="F11" s="98"/>
      <c r="G11" s="98"/>
      <c r="H11" s="98"/>
      <c r="I11" s="98"/>
      <c r="J11" s="98"/>
      <c r="K11" s="98"/>
      <c r="L11" s="98"/>
      <c r="M11" s="98"/>
      <c r="N11" s="96">
        <f t="shared" si="0"/>
        <v>0</v>
      </c>
      <c r="O11"/>
    </row>
    <row r="12" spans="1:16">
      <c r="A12" s="49" t="s">
        <v>70</v>
      </c>
      <c r="B12" s="47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96">
        <f t="shared" si="0"/>
        <v>0</v>
      </c>
      <c r="O12"/>
    </row>
    <row r="13" spans="1:16">
      <c r="A13" s="49"/>
      <c r="B13" s="50"/>
      <c r="C13" s="99"/>
      <c r="D13" s="99"/>
      <c r="E13" s="99"/>
      <c r="F13" s="99"/>
      <c r="G13" s="99"/>
      <c r="H13" s="99"/>
      <c r="I13" s="99"/>
      <c r="J13" s="99"/>
      <c r="K13" s="99"/>
      <c r="L13" s="99"/>
      <c r="M13" s="99"/>
      <c r="N13" s="96">
        <f t="shared" si="0"/>
        <v>0</v>
      </c>
      <c r="O13"/>
    </row>
    <row r="14" spans="1:16">
      <c r="A14" s="52" t="s">
        <v>71</v>
      </c>
      <c r="B14" s="53">
        <f>SUM(B3:B13)</f>
        <v>0</v>
      </c>
      <c r="C14" s="24">
        <f t="shared" ref="C14" si="1">SUM(C3:C13)</f>
        <v>0</v>
      </c>
      <c r="D14" s="24">
        <f t="shared" ref="D14" si="2">SUM(D3:D13)</f>
        <v>0</v>
      </c>
      <c r="E14" s="24">
        <f t="shared" ref="E14" si="3">SUM(E3:E13)</f>
        <v>0</v>
      </c>
      <c r="F14" s="24">
        <f t="shared" ref="F14" si="4">SUM(F3:F13)</f>
        <v>0</v>
      </c>
      <c r="G14" s="24">
        <f t="shared" ref="G14" si="5">SUM(G3:G13)</f>
        <v>0</v>
      </c>
      <c r="H14" s="24">
        <f t="shared" ref="H14" si="6">SUM(H3:H13)</f>
        <v>0</v>
      </c>
      <c r="I14" s="24">
        <f t="shared" ref="I14" si="7">SUM(I3:I13)</f>
        <v>0</v>
      </c>
      <c r="J14" s="24">
        <f t="shared" ref="J14" si="8">SUM(J3:J13)</f>
        <v>0</v>
      </c>
      <c r="K14" s="24">
        <f t="shared" ref="K14:L14" si="9">SUM(K3:K13)</f>
        <v>0</v>
      </c>
      <c r="L14" s="24">
        <f t="shared" si="9"/>
        <v>0</v>
      </c>
      <c r="M14" s="24">
        <f t="shared" ref="M14" si="10">SUM(M3:M13)</f>
        <v>0</v>
      </c>
      <c r="N14" s="96">
        <f t="shared" si="0"/>
        <v>0</v>
      </c>
      <c r="O14"/>
    </row>
    <row r="15" spans="1:16">
      <c r="A15" s="55"/>
      <c r="B15" s="56"/>
      <c r="C15" s="100"/>
      <c r="D15" s="100"/>
      <c r="E15" s="100"/>
      <c r="F15" s="100"/>
      <c r="G15" s="100"/>
      <c r="H15" s="100"/>
      <c r="I15" s="100"/>
      <c r="J15" s="100"/>
      <c r="K15" s="100"/>
      <c r="L15" s="100"/>
      <c r="M15" s="100"/>
      <c r="N15" s="96">
        <f t="shared" si="0"/>
        <v>0</v>
      </c>
      <c r="O15"/>
    </row>
    <row r="16" spans="1:16">
      <c r="A16" s="42" t="s">
        <v>72</v>
      </c>
      <c r="B16" s="58"/>
      <c r="C16" s="101"/>
      <c r="D16" s="101"/>
      <c r="E16" s="101"/>
      <c r="F16" s="101"/>
      <c r="G16" s="101"/>
      <c r="H16" s="101"/>
      <c r="I16" s="101"/>
      <c r="J16" s="101"/>
      <c r="K16" s="101"/>
      <c r="L16" s="101"/>
      <c r="M16" s="101"/>
      <c r="N16" s="96">
        <f t="shared" si="0"/>
        <v>0</v>
      </c>
      <c r="O16"/>
    </row>
    <row r="17" spans="1:15">
      <c r="A17" s="46" t="s">
        <v>73</v>
      </c>
      <c r="B17" s="47">
        <v>0</v>
      </c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96">
        <f t="shared" si="0"/>
        <v>0</v>
      </c>
      <c r="O17"/>
    </row>
    <row r="18" spans="1:15">
      <c r="A18" s="46" t="s">
        <v>74</v>
      </c>
      <c r="B18" s="47">
        <v>0</v>
      </c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96">
        <f t="shared" si="0"/>
        <v>0</v>
      </c>
      <c r="O18"/>
    </row>
    <row r="19" spans="1:15">
      <c r="A19" s="46" t="s">
        <v>75</v>
      </c>
      <c r="B19" s="47">
        <v>0</v>
      </c>
      <c r="C19" s="35">
        <v>0</v>
      </c>
      <c r="D19" s="35">
        <v>0</v>
      </c>
      <c r="E19" s="35">
        <v>0</v>
      </c>
      <c r="F19" s="35">
        <v>0</v>
      </c>
      <c r="G19" s="35">
        <v>0</v>
      </c>
      <c r="H19" s="35">
        <v>0</v>
      </c>
      <c r="I19" s="35">
        <v>0</v>
      </c>
      <c r="J19" s="35">
        <v>0</v>
      </c>
      <c r="K19" s="35">
        <v>0</v>
      </c>
      <c r="L19" s="35">
        <v>0</v>
      </c>
      <c r="M19" s="35">
        <v>0</v>
      </c>
      <c r="N19" s="96">
        <f t="shared" si="0"/>
        <v>0</v>
      </c>
      <c r="O19"/>
    </row>
    <row r="20" spans="1:15">
      <c r="A20" s="46"/>
      <c r="B20" s="50"/>
      <c r="C20" s="99"/>
      <c r="D20" s="99"/>
      <c r="E20" s="99"/>
      <c r="F20" s="99"/>
      <c r="G20" s="99"/>
      <c r="H20" s="99"/>
      <c r="I20" s="106"/>
      <c r="J20" s="106"/>
      <c r="K20" s="106"/>
      <c r="L20" s="106"/>
      <c r="M20" s="106"/>
      <c r="N20" s="96">
        <f t="shared" si="0"/>
        <v>0</v>
      </c>
      <c r="O20"/>
    </row>
    <row r="21" spans="1:15">
      <c r="A21" s="39"/>
      <c r="B21" s="50"/>
      <c r="C21" s="99"/>
      <c r="D21" s="99"/>
      <c r="E21" s="99"/>
      <c r="F21" s="99"/>
      <c r="G21" s="99"/>
      <c r="H21" s="99"/>
      <c r="I21" s="99"/>
      <c r="J21" s="99"/>
      <c r="K21" s="99"/>
      <c r="L21" s="99"/>
      <c r="M21" s="99"/>
      <c r="N21" s="96">
        <f t="shared" si="0"/>
        <v>0</v>
      </c>
      <c r="O21"/>
    </row>
    <row r="22" spans="1:15">
      <c r="A22" s="39"/>
      <c r="B22" s="50"/>
      <c r="C22" s="99"/>
      <c r="D22" s="99"/>
      <c r="E22" s="99"/>
      <c r="F22" s="99"/>
      <c r="G22" s="99"/>
      <c r="H22" s="99"/>
      <c r="I22" s="99"/>
      <c r="J22" s="99"/>
      <c r="K22" s="99"/>
      <c r="L22" s="99"/>
      <c r="M22" s="99"/>
      <c r="N22" s="96">
        <f t="shared" si="0"/>
        <v>0</v>
      </c>
      <c r="O22"/>
    </row>
    <row r="23" spans="1:15">
      <c r="A23" s="61" t="s">
        <v>76</v>
      </c>
      <c r="B23" s="53">
        <f>SUM(B17:B22)</f>
        <v>0</v>
      </c>
      <c r="C23" s="24">
        <f t="shared" ref="C23" si="11">SUM(C17:C22)</f>
        <v>0</v>
      </c>
      <c r="D23" s="24">
        <f t="shared" ref="D23" si="12">SUM(D17:D22)</f>
        <v>0</v>
      </c>
      <c r="E23" s="24">
        <f t="shared" ref="E23" si="13">SUM(E17:E22)</f>
        <v>0</v>
      </c>
      <c r="F23" s="24">
        <f t="shared" ref="F23" si="14">SUM(F17:F22)</f>
        <v>0</v>
      </c>
      <c r="G23" s="24">
        <f t="shared" ref="G23" si="15">SUM(G17:G22)</f>
        <v>0</v>
      </c>
      <c r="H23" s="24">
        <f t="shared" ref="H23" si="16">SUM(H17:H22)</f>
        <v>0</v>
      </c>
      <c r="I23" s="24">
        <f t="shared" ref="I23" si="17">SUM(I17:I22)</f>
        <v>0</v>
      </c>
      <c r="J23" s="24">
        <f>SUM(J17:J22)</f>
        <v>0</v>
      </c>
      <c r="K23" s="24">
        <f t="shared" ref="K23:L23" si="18">SUM(K17:K22)</f>
        <v>0</v>
      </c>
      <c r="L23" s="24">
        <f t="shared" si="18"/>
        <v>0</v>
      </c>
      <c r="M23" s="24">
        <f t="shared" ref="M23" si="19">SUM(M17:M22)</f>
        <v>0</v>
      </c>
      <c r="N23" s="96">
        <f t="shared" si="0"/>
        <v>0</v>
      </c>
      <c r="O23"/>
    </row>
    <row r="24" spans="1:15">
      <c r="A24" s="55"/>
      <c r="B24" s="62"/>
      <c r="C24" s="102"/>
      <c r="D24" s="102"/>
      <c r="E24" s="102"/>
      <c r="F24" s="102"/>
      <c r="G24" s="102"/>
      <c r="H24" s="102"/>
      <c r="I24" s="102"/>
      <c r="J24" s="102"/>
      <c r="K24" s="102"/>
      <c r="L24" s="102"/>
      <c r="M24" s="102"/>
      <c r="N24" s="96">
        <f t="shared" si="0"/>
        <v>0</v>
      </c>
      <c r="O24"/>
    </row>
    <row r="25" spans="1:15">
      <c r="A25" s="61" t="s">
        <v>77</v>
      </c>
      <c r="B25" s="53">
        <f>B14-B23</f>
        <v>0</v>
      </c>
      <c r="C25" s="24">
        <f t="shared" ref="C25:K25" si="20">C14-C23</f>
        <v>0</v>
      </c>
      <c r="D25" s="24">
        <f t="shared" si="20"/>
        <v>0</v>
      </c>
      <c r="E25" s="24">
        <f t="shared" si="20"/>
        <v>0</v>
      </c>
      <c r="F25" s="24">
        <f t="shared" si="20"/>
        <v>0</v>
      </c>
      <c r="G25" s="24">
        <f t="shared" si="20"/>
        <v>0</v>
      </c>
      <c r="H25" s="24">
        <f t="shared" si="20"/>
        <v>0</v>
      </c>
      <c r="I25" s="24">
        <f t="shared" si="20"/>
        <v>0</v>
      </c>
      <c r="J25" s="24">
        <f t="shared" si="20"/>
        <v>0</v>
      </c>
      <c r="K25" s="24">
        <f t="shared" si="20"/>
        <v>0</v>
      </c>
      <c r="L25" s="24">
        <f t="shared" ref="L25:M25" si="21">L14-L23</f>
        <v>0</v>
      </c>
      <c r="M25" s="24">
        <f t="shared" si="21"/>
        <v>0</v>
      </c>
      <c r="N25" s="96">
        <f t="shared" si="0"/>
        <v>0</v>
      </c>
      <c r="O25"/>
    </row>
    <row r="26" spans="1:15">
      <c r="A26" s="46"/>
      <c r="B26" s="62"/>
      <c r="C26" s="102" t="s">
        <v>133</v>
      </c>
      <c r="D26" s="102"/>
      <c r="E26" s="102"/>
      <c r="F26" s="102"/>
      <c r="G26" s="102"/>
      <c r="H26" s="102"/>
      <c r="I26" s="102"/>
      <c r="J26" s="102"/>
      <c r="K26" s="102"/>
      <c r="L26" s="102"/>
      <c r="M26" s="102"/>
      <c r="N26" s="96">
        <f t="shared" si="0"/>
        <v>0</v>
      </c>
      <c r="O26"/>
    </row>
    <row r="27" spans="1:15">
      <c r="A27" s="42" t="s">
        <v>78</v>
      </c>
      <c r="B27" s="58"/>
      <c r="C27" s="101"/>
      <c r="D27" s="101"/>
      <c r="E27" s="101"/>
      <c r="F27" s="101"/>
      <c r="G27" s="101"/>
      <c r="H27" s="101"/>
      <c r="I27" s="101"/>
      <c r="J27" s="101"/>
      <c r="K27" s="101"/>
      <c r="L27" s="101"/>
      <c r="M27" s="101"/>
      <c r="N27" s="96">
        <f t="shared" si="0"/>
        <v>0</v>
      </c>
      <c r="O27"/>
    </row>
    <row r="28" spans="1:15" ht="14.4">
      <c r="A28" s="64" t="s">
        <v>79</v>
      </c>
      <c r="B28" s="50"/>
      <c r="C28" s="99"/>
      <c r="D28" s="99"/>
      <c r="E28" s="99"/>
      <c r="F28" s="99"/>
      <c r="G28" s="99"/>
      <c r="H28" s="99"/>
      <c r="I28" s="99"/>
      <c r="J28" s="99"/>
      <c r="K28" s="99"/>
      <c r="L28" s="99"/>
      <c r="M28" s="99"/>
      <c r="N28" s="96">
        <f t="shared" si="0"/>
        <v>0</v>
      </c>
      <c r="O28"/>
    </row>
    <row r="29" spans="1:15">
      <c r="A29" s="46" t="s">
        <v>80</v>
      </c>
      <c r="B29" s="47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96">
        <f t="shared" si="0"/>
        <v>0</v>
      </c>
      <c r="O29"/>
    </row>
    <row r="30" spans="1:15">
      <c r="A30" s="65" t="s">
        <v>81</v>
      </c>
      <c r="B30" s="47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96">
        <f t="shared" si="0"/>
        <v>0</v>
      </c>
      <c r="O30"/>
    </row>
    <row r="31" spans="1:15">
      <c r="A31" s="46" t="s">
        <v>82</v>
      </c>
      <c r="B31" s="97"/>
      <c r="C31" s="98"/>
      <c r="D31" s="98"/>
      <c r="E31" s="98"/>
      <c r="F31" s="98"/>
      <c r="G31" s="98"/>
      <c r="H31" s="98"/>
      <c r="I31" s="98"/>
      <c r="J31" s="98"/>
      <c r="K31" s="98"/>
      <c r="L31" s="98"/>
      <c r="M31" s="98"/>
      <c r="N31" s="96">
        <f t="shared" si="0"/>
        <v>0</v>
      </c>
      <c r="O31"/>
    </row>
    <row r="32" spans="1:15">
      <c r="A32" s="46" t="s">
        <v>83</v>
      </c>
      <c r="B32" s="97"/>
      <c r="C32" s="98"/>
      <c r="D32" s="98"/>
      <c r="E32" s="98"/>
      <c r="F32" s="98"/>
      <c r="G32" s="98"/>
      <c r="H32" s="98"/>
      <c r="I32" s="98"/>
      <c r="J32" s="98"/>
      <c r="K32" s="98"/>
      <c r="L32" s="98"/>
      <c r="M32" s="98"/>
      <c r="N32" s="96">
        <f t="shared" si="0"/>
        <v>0</v>
      </c>
      <c r="O32"/>
    </row>
    <row r="33" spans="1:15">
      <c r="A33" s="49" t="s">
        <v>84</v>
      </c>
      <c r="B33" s="111"/>
      <c r="C33" s="98"/>
      <c r="D33" s="98"/>
      <c r="E33" s="98"/>
      <c r="F33" s="98"/>
      <c r="G33" s="98"/>
      <c r="H33" s="98"/>
      <c r="I33" s="98"/>
      <c r="J33" s="98"/>
      <c r="K33" s="98"/>
      <c r="L33" s="98"/>
      <c r="M33" s="98"/>
      <c r="N33" s="96">
        <f t="shared" si="0"/>
        <v>0</v>
      </c>
      <c r="O33"/>
    </row>
    <row r="34" spans="1:15">
      <c r="A34" s="66" t="s">
        <v>85</v>
      </c>
      <c r="B34" s="47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96">
        <f t="shared" si="0"/>
        <v>0</v>
      </c>
      <c r="O34"/>
    </row>
    <row r="35" spans="1:15">
      <c r="A35" s="46" t="s">
        <v>86</v>
      </c>
      <c r="B35" s="47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96">
        <f t="shared" si="0"/>
        <v>0</v>
      </c>
      <c r="O35"/>
    </row>
    <row r="36" spans="1:15">
      <c r="A36" s="46" t="s">
        <v>87</v>
      </c>
      <c r="B36" s="47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96">
        <f t="shared" si="0"/>
        <v>0</v>
      </c>
      <c r="O36"/>
    </row>
    <row r="37" spans="1:15">
      <c r="A37" s="46" t="s">
        <v>88</v>
      </c>
      <c r="B37" s="47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96">
        <f t="shared" si="0"/>
        <v>0</v>
      </c>
      <c r="O37"/>
    </row>
    <row r="38" spans="1:15">
      <c r="A38" s="46" t="s">
        <v>89</v>
      </c>
      <c r="B38" s="47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96">
        <f t="shared" si="0"/>
        <v>0</v>
      </c>
      <c r="O38"/>
    </row>
    <row r="39" spans="1:15">
      <c r="A39" s="46" t="s">
        <v>90</v>
      </c>
      <c r="B39" s="47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96">
        <f t="shared" si="0"/>
        <v>0</v>
      </c>
      <c r="O39"/>
    </row>
    <row r="40" spans="1:15">
      <c r="A40" s="46" t="s">
        <v>70</v>
      </c>
      <c r="B40" s="67"/>
      <c r="C40" s="26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96">
        <f t="shared" si="0"/>
        <v>0</v>
      </c>
      <c r="O40"/>
    </row>
    <row r="41" spans="1:15" ht="14.4">
      <c r="A41" s="69" t="s">
        <v>91</v>
      </c>
      <c r="B41" s="53">
        <f>SUM(B29:B40)</f>
        <v>0</v>
      </c>
      <c r="C41" s="24">
        <f t="shared" ref="C41" si="22">SUM(C29:C40)</f>
        <v>0</v>
      </c>
      <c r="D41" s="24">
        <f t="shared" ref="D41" si="23">SUM(D29:D40)</f>
        <v>0</v>
      </c>
      <c r="E41" s="24">
        <f t="shared" ref="E41" si="24">SUM(E29:E40)</f>
        <v>0</v>
      </c>
      <c r="F41" s="24">
        <f t="shared" ref="F41" si="25">SUM(F29:F40)</f>
        <v>0</v>
      </c>
      <c r="G41" s="24">
        <f t="shared" ref="G41" si="26">SUM(G29:G40)</f>
        <v>0</v>
      </c>
      <c r="H41" s="24">
        <f t="shared" ref="H41" si="27">SUM(H29:H40)</f>
        <v>0</v>
      </c>
      <c r="I41" s="24">
        <f t="shared" ref="I41" si="28">SUM(I29:I40)</f>
        <v>0</v>
      </c>
      <c r="J41" s="24">
        <f t="shared" ref="J41" si="29">SUM(J29:J40)</f>
        <v>0</v>
      </c>
      <c r="K41" s="24">
        <f t="shared" ref="K41:L41" si="30">SUM(K29:K40)</f>
        <v>0</v>
      </c>
      <c r="L41" s="24">
        <f t="shared" si="30"/>
        <v>0</v>
      </c>
      <c r="M41" s="24">
        <f t="shared" ref="M41" si="31">SUM(M29:M40)</f>
        <v>0</v>
      </c>
      <c r="N41" s="96">
        <f t="shared" si="0"/>
        <v>0</v>
      </c>
      <c r="O41"/>
    </row>
    <row r="42" spans="1:15" ht="14.4">
      <c r="A42" s="69"/>
      <c r="B42" s="50"/>
      <c r="C42" s="99"/>
      <c r="D42" s="99"/>
      <c r="E42" s="99"/>
      <c r="F42" s="99"/>
      <c r="G42" s="99"/>
      <c r="H42" s="99"/>
      <c r="I42" s="99"/>
      <c r="J42" s="99"/>
      <c r="K42" s="99"/>
      <c r="L42" s="99"/>
      <c r="M42" s="99"/>
      <c r="N42" s="96">
        <f t="shared" si="0"/>
        <v>0</v>
      </c>
      <c r="O42"/>
    </row>
    <row r="43" spans="1:15" ht="14.4">
      <c r="A43" s="64" t="s">
        <v>119</v>
      </c>
      <c r="B43" s="50"/>
      <c r="C43" s="99"/>
      <c r="D43" s="99"/>
      <c r="E43" s="99"/>
      <c r="F43" s="99"/>
      <c r="G43" s="99"/>
      <c r="H43" s="99"/>
      <c r="I43" s="99"/>
      <c r="J43" s="99"/>
      <c r="K43" s="99"/>
      <c r="L43" s="99"/>
      <c r="M43" s="99"/>
      <c r="N43" s="96">
        <f t="shared" si="0"/>
        <v>0</v>
      </c>
      <c r="O43"/>
    </row>
    <row r="44" spans="1:15">
      <c r="A44" s="136" t="s">
        <v>80</v>
      </c>
      <c r="B44" s="47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96">
        <f t="shared" si="0"/>
        <v>0</v>
      </c>
      <c r="O44"/>
    </row>
    <row r="45" spans="1:15">
      <c r="A45" s="46" t="s">
        <v>82</v>
      </c>
      <c r="B45" s="97"/>
      <c r="C45" s="98"/>
      <c r="D45" s="98"/>
      <c r="E45" s="98"/>
      <c r="F45" s="98"/>
      <c r="G45" s="98"/>
      <c r="H45" s="98"/>
      <c r="I45" s="98"/>
      <c r="J45" s="98"/>
      <c r="K45" s="98"/>
      <c r="L45" s="98"/>
      <c r="M45" s="98"/>
      <c r="N45" s="96">
        <f t="shared" si="0"/>
        <v>0</v>
      </c>
      <c r="O45"/>
    </row>
    <row r="46" spans="1:15">
      <c r="A46" s="46" t="s">
        <v>70</v>
      </c>
      <c r="B46" s="97"/>
      <c r="C46" s="98"/>
      <c r="D46" s="98"/>
      <c r="E46" s="98"/>
      <c r="F46" s="98"/>
      <c r="G46" s="98"/>
      <c r="H46" s="98"/>
      <c r="I46" s="98"/>
      <c r="J46" s="98"/>
      <c r="K46" s="98"/>
      <c r="L46" s="98"/>
      <c r="M46" s="98"/>
      <c r="N46" s="96">
        <f t="shared" si="0"/>
        <v>0</v>
      </c>
      <c r="O46"/>
    </row>
    <row r="47" spans="1:15">
      <c r="A47" s="46" t="s">
        <v>141</v>
      </c>
      <c r="B47" s="9"/>
      <c r="C47" s="31"/>
      <c r="D47" s="31"/>
      <c r="E47" s="35"/>
      <c r="F47" s="35"/>
      <c r="G47" s="35"/>
      <c r="H47" s="35"/>
      <c r="I47" s="35"/>
      <c r="J47" s="35"/>
      <c r="K47" s="35"/>
      <c r="L47" s="35"/>
      <c r="M47" s="35"/>
      <c r="N47" s="96">
        <f t="shared" si="0"/>
        <v>0</v>
      </c>
      <c r="O47"/>
    </row>
    <row r="48" spans="1:15">
      <c r="A48" s="46" t="s">
        <v>142</v>
      </c>
      <c r="B48" s="9"/>
      <c r="C48" s="31"/>
      <c r="D48" s="31"/>
      <c r="E48" s="35"/>
      <c r="F48" s="35"/>
      <c r="G48" s="35"/>
      <c r="H48" s="35"/>
      <c r="I48" s="35"/>
      <c r="J48" s="35"/>
      <c r="K48" s="35"/>
      <c r="L48" s="35"/>
      <c r="M48" s="35"/>
      <c r="N48" s="96">
        <f t="shared" si="0"/>
        <v>0</v>
      </c>
      <c r="O48"/>
    </row>
    <row r="49" spans="1:15">
      <c r="A49" s="46" t="s">
        <v>144</v>
      </c>
      <c r="B49" s="9"/>
      <c r="C49" s="31"/>
      <c r="D49" s="31"/>
      <c r="E49" s="35"/>
      <c r="F49" s="35"/>
      <c r="G49" s="35"/>
      <c r="H49" s="35"/>
      <c r="I49" s="35"/>
      <c r="J49" s="35"/>
      <c r="K49" s="35"/>
      <c r="L49" s="35"/>
      <c r="M49" s="35"/>
      <c r="N49" s="96">
        <f t="shared" si="0"/>
        <v>0</v>
      </c>
      <c r="O49"/>
    </row>
    <row r="50" spans="1:15">
      <c r="A50" s="136" t="s">
        <v>143</v>
      </c>
      <c r="B50" s="111"/>
      <c r="C50" s="106"/>
      <c r="D50" s="106"/>
      <c r="E50" s="106"/>
      <c r="F50" s="106"/>
      <c r="G50" s="106"/>
      <c r="H50" s="106"/>
      <c r="I50" s="106"/>
      <c r="J50" s="106"/>
      <c r="K50" s="106"/>
      <c r="L50" s="106"/>
      <c r="M50" s="106"/>
      <c r="N50" s="96">
        <f t="shared" si="0"/>
        <v>0</v>
      </c>
      <c r="O50"/>
    </row>
    <row r="51" spans="1:15">
      <c r="A51" s="46" t="s">
        <v>129</v>
      </c>
      <c r="B51" s="97"/>
      <c r="C51" s="98"/>
      <c r="D51" s="98"/>
      <c r="E51" s="98"/>
      <c r="F51" s="98"/>
      <c r="G51" s="98"/>
      <c r="H51" s="98"/>
      <c r="I51" s="98"/>
      <c r="J51" s="98"/>
      <c r="K51" s="98"/>
      <c r="L51" s="98"/>
      <c r="M51" s="98"/>
      <c r="N51" s="96">
        <f t="shared" si="0"/>
        <v>0</v>
      </c>
      <c r="O51"/>
    </row>
    <row r="52" spans="1:15">
      <c r="A52" s="46" t="s">
        <v>117</v>
      </c>
      <c r="B52" s="135"/>
      <c r="C52" s="110"/>
      <c r="D52" s="110"/>
      <c r="E52" s="110"/>
      <c r="F52" s="110"/>
      <c r="G52" s="110"/>
      <c r="H52" s="110"/>
      <c r="I52" s="110"/>
      <c r="J52" s="110"/>
      <c r="K52" s="110"/>
      <c r="L52" s="110"/>
      <c r="M52" s="110"/>
      <c r="N52" s="96">
        <f t="shared" si="0"/>
        <v>0</v>
      </c>
      <c r="O52"/>
    </row>
    <row r="53" spans="1:15" ht="14.4">
      <c r="A53" s="72" t="s">
        <v>62</v>
      </c>
      <c r="B53" s="53">
        <f>SUM(B44:B52)</f>
        <v>0</v>
      </c>
      <c r="C53" s="24">
        <f t="shared" ref="C53" si="32">SUM(C44:C52)</f>
        <v>0</v>
      </c>
      <c r="D53" s="24">
        <f t="shared" ref="D53" si="33">SUM(D44:D52)</f>
        <v>0</v>
      </c>
      <c r="E53" s="24">
        <f t="shared" ref="E53" si="34">SUM(E44:E52)</f>
        <v>0</v>
      </c>
      <c r="F53" s="24">
        <f t="shared" ref="F53" si="35">SUM(F44:F52)</f>
        <v>0</v>
      </c>
      <c r="G53" s="24">
        <f t="shared" ref="G53" si="36">SUM(G44:G52)</f>
        <v>0</v>
      </c>
      <c r="H53" s="24">
        <f t="shared" ref="H53" si="37">SUM(H44:H52)</f>
        <v>0</v>
      </c>
      <c r="I53" s="24">
        <f t="shared" ref="I53" si="38">SUM(I44:I52)</f>
        <v>0</v>
      </c>
      <c r="J53" s="24">
        <f t="shared" ref="J53" si="39">SUM(J44:J52)</f>
        <v>0</v>
      </c>
      <c r="K53" s="24">
        <f t="shared" ref="K53:L53" si="40">SUM(K44:K52)</f>
        <v>0</v>
      </c>
      <c r="L53" s="24">
        <f t="shared" si="40"/>
        <v>0</v>
      </c>
      <c r="M53" s="24">
        <f t="shared" ref="M53" si="41">SUM(M44:M52)</f>
        <v>0</v>
      </c>
      <c r="N53" s="96">
        <f t="shared" si="0"/>
        <v>0</v>
      </c>
      <c r="O53"/>
    </row>
    <row r="54" spans="1:15">
      <c r="A54" s="46"/>
      <c r="B54" s="47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96">
        <f t="shared" si="0"/>
        <v>0</v>
      </c>
      <c r="O54"/>
    </row>
    <row r="55" spans="1:15" ht="14.4">
      <c r="A55" s="73" t="s">
        <v>92</v>
      </c>
      <c r="B55" s="47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96">
        <f t="shared" si="0"/>
        <v>0</v>
      </c>
      <c r="O55"/>
    </row>
    <row r="56" spans="1:15">
      <c r="A56" s="46" t="s">
        <v>80</v>
      </c>
      <c r="B56" s="47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96">
        <f t="shared" si="0"/>
        <v>0</v>
      </c>
      <c r="O56"/>
    </row>
    <row r="57" spans="1:15">
      <c r="A57" s="46" t="s">
        <v>81</v>
      </c>
      <c r="B57" s="47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96">
        <f t="shared" si="0"/>
        <v>0</v>
      </c>
      <c r="O57"/>
    </row>
    <row r="58" spans="1:15">
      <c r="A58" s="46" t="s">
        <v>82</v>
      </c>
      <c r="B58" s="47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96">
        <f t="shared" si="0"/>
        <v>0</v>
      </c>
      <c r="O58"/>
    </row>
    <row r="59" spans="1:15">
      <c r="A59" s="46" t="s">
        <v>83</v>
      </c>
      <c r="B59" s="47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96">
        <f t="shared" si="0"/>
        <v>0</v>
      </c>
      <c r="O59"/>
    </row>
    <row r="60" spans="1:15">
      <c r="A60" s="46" t="s">
        <v>90</v>
      </c>
      <c r="B60" s="97"/>
      <c r="C60" s="98"/>
      <c r="D60" s="98"/>
      <c r="E60" s="98"/>
      <c r="F60" s="98"/>
      <c r="G60" s="98"/>
      <c r="H60" s="98"/>
      <c r="I60" s="98"/>
      <c r="J60" s="98"/>
      <c r="K60" s="98"/>
      <c r="L60" s="98"/>
      <c r="M60" s="98"/>
      <c r="N60" s="96">
        <f t="shared" si="0"/>
        <v>0</v>
      </c>
      <c r="O60"/>
    </row>
    <row r="61" spans="1:15">
      <c r="A61" s="46" t="s">
        <v>93</v>
      </c>
      <c r="B61" s="47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96">
        <f t="shared" si="0"/>
        <v>0</v>
      </c>
      <c r="O61"/>
    </row>
    <row r="62" spans="1:15">
      <c r="A62" s="46" t="s">
        <v>94</v>
      </c>
      <c r="B62" s="97"/>
      <c r="C62" s="98"/>
      <c r="D62" s="98"/>
      <c r="E62" s="98"/>
      <c r="F62" s="98"/>
      <c r="G62" s="98"/>
      <c r="H62" s="98"/>
      <c r="I62" s="98"/>
      <c r="J62" s="98"/>
      <c r="K62" s="98"/>
      <c r="L62" s="98"/>
      <c r="M62" s="98"/>
      <c r="N62" s="96">
        <f t="shared" si="0"/>
        <v>0</v>
      </c>
      <c r="O62"/>
    </row>
    <row r="63" spans="1:15">
      <c r="A63" s="46" t="s">
        <v>95</v>
      </c>
      <c r="B63" s="47"/>
      <c r="C63" s="35"/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96">
        <f t="shared" si="0"/>
        <v>0</v>
      </c>
      <c r="O63"/>
    </row>
    <row r="64" spans="1:15">
      <c r="A64" s="46" t="s">
        <v>96</v>
      </c>
      <c r="B64" s="47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96">
        <f t="shared" si="0"/>
        <v>0</v>
      </c>
      <c r="O64"/>
    </row>
    <row r="65" spans="1:15">
      <c r="A65" s="46" t="s">
        <v>70</v>
      </c>
      <c r="B65" s="67"/>
      <c r="C65" s="26"/>
      <c r="D65" s="26"/>
      <c r="E65" s="26"/>
      <c r="F65" s="26"/>
      <c r="G65" s="26"/>
      <c r="H65" s="26"/>
      <c r="I65" s="26"/>
      <c r="J65" s="26"/>
      <c r="K65" s="26"/>
      <c r="L65" s="26"/>
      <c r="M65" s="26"/>
      <c r="N65" s="96">
        <f t="shared" si="0"/>
        <v>0</v>
      </c>
      <c r="O65"/>
    </row>
    <row r="66" spans="1:15" ht="14.4">
      <c r="A66" s="74" t="s">
        <v>62</v>
      </c>
      <c r="B66" s="75">
        <f>SUM(B56:B65)</f>
        <v>0</v>
      </c>
      <c r="C66" s="27">
        <f t="shared" ref="C66" si="42">SUM(C56:C65)</f>
        <v>0</v>
      </c>
      <c r="D66" s="27">
        <f t="shared" ref="D66" si="43">SUM(D56:D65)</f>
        <v>0</v>
      </c>
      <c r="E66" s="27">
        <f t="shared" ref="E66" si="44">SUM(E56:E65)</f>
        <v>0</v>
      </c>
      <c r="F66" s="27">
        <f t="shared" ref="F66" si="45">SUM(F56:F65)</f>
        <v>0</v>
      </c>
      <c r="G66" s="27">
        <f t="shared" ref="G66" si="46">SUM(G56:G65)</f>
        <v>0</v>
      </c>
      <c r="H66" s="27">
        <f t="shared" ref="H66" si="47">SUM(H56:H65)</f>
        <v>0</v>
      </c>
      <c r="I66" s="27">
        <f t="shared" ref="I66" si="48">SUM(I56:I65)</f>
        <v>0</v>
      </c>
      <c r="J66" s="27">
        <f t="shared" ref="J66" si="49">SUM(J56:J65)</f>
        <v>0</v>
      </c>
      <c r="K66" s="27">
        <f t="shared" ref="K66:L66" si="50">SUM(K56:K65)</f>
        <v>0</v>
      </c>
      <c r="L66" s="27">
        <f t="shared" si="50"/>
        <v>0</v>
      </c>
      <c r="M66" s="27">
        <f t="shared" ref="M66" si="51">SUM(M56:M65)</f>
        <v>0</v>
      </c>
      <c r="N66" s="96">
        <f t="shared" si="0"/>
        <v>0</v>
      </c>
    </row>
    <row r="67" spans="1:15">
      <c r="A67" s="66"/>
      <c r="B67" s="47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96">
        <f t="shared" ref="N67" si="52">SUM(B67:M67)</f>
        <v>0</v>
      </c>
    </row>
    <row r="68" spans="1:15">
      <c r="A68" s="76" t="s">
        <v>97</v>
      </c>
      <c r="B68" s="77">
        <f t="shared" ref="B68:K68" si="53">B66+B53+B41</f>
        <v>0</v>
      </c>
      <c r="C68" s="28">
        <f t="shared" si="53"/>
        <v>0</v>
      </c>
      <c r="D68" s="28">
        <f t="shared" si="53"/>
        <v>0</v>
      </c>
      <c r="E68" s="28">
        <f t="shared" si="53"/>
        <v>0</v>
      </c>
      <c r="F68" s="28">
        <f t="shared" si="53"/>
        <v>0</v>
      </c>
      <c r="G68" s="28">
        <f t="shared" si="53"/>
        <v>0</v>
      </c>
      <c r="H68" s="28">
        <f t="shared" si="53"/>
        <v>0</v>
      </c>
      <c r="I68" s="28">
        <f t="shared" si="53"/>
        <v>0</v>
      </c>
      <c r="J68" s="28">
        <f t="shared" si="53"/>
        <v>0</v>
      </c>
      <c r="K68" s="28">
        <f t="shared" si="53"/>
        <v>0</v>
      </c>
      <c r="L68" s="28">
        <f t="shared" ref="L68:M68" si="54">L66+L53+L41</f>
        <v>0</v>
      </c>
      <c r="M68" s="28">
        <f t="shared" si="54"/>
        <v>0</v>
      </c>
      <c r="N68" s="77">
        <f t="shared" ref="N68" si="55">N66+N53+N41</f>
        <v>0</v>
      </c>
      <c r="O68"/>
    </row>
    <row r="69" spans="1:15">
      <c r="A69" s="66"/>
      <c r="B69" s="62"/>
      <c r="C69" s="25"/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85"/>
      <c r="O69"/>
    </row>
    <row r="70" spans="1:15">
      <c r="A70" s="66"/>
      <c r="B70" s="78"/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</row>
    <row r="71" spans="1:15" ht="13.8" thickBot="1">
      <c r="A71" s="80" t="s">
        <v>98</v>
      </c>
      <c r="B71" s="81">
        <f t="shared" ref="B71:K71" si="56">B25-B68</f>
        <v>0</v>
      </c>
      <c r="C71" s="30">
        <f t="shared" si="56"/>
        <v>0</v>
      </c>
      <c r="D71" s="30">
        <f t="shared" si="56"/>
        <v>0</v>
      </c>
      <c r="E71" s="30">
        <f t="shared" si="56"/>
        <v>0</v>
      </c>
      <c r="F71" s="30">
        <f t="shared" si="56"/>
        <v>0</v>
      </c>
      <c r="G71" s="30">
        <f t="shared" si="56"/>
        <v>0</v>
      </c>
      <c r="H71" s="30">
        <f t="shared" si="56"/>
        <v>0</v>
      </c>
      <c r="I71" s="30">
        <f t="shared" si="56"/>
        <v>0</v>
      </c>
      <c r="J71" s="30">
        <f t="shared" si="56"/>
        <v>0</v>
      </c>
      <c r="K71" s="30">
        <f t="shared" si="56"/>
        <v>0</v>
      </c>
      <c r="L71" s="30">
        <f t="shared" ref="L71:M71" si="57">L25-L68</f>
        <v>0</v>
      </c>
      <c r="M71" s="30">
        <f t="shared" si="57"/>
        <v>0</v>
      </c>
      <c r="N71" s="81">
        <f t="shared" ref="N71" si="58">N25-N68</f>
        <v>0</v>
      </c>
    </row>
    <row r="72" spans="1:15" ht="13.8" thickTop="1"/>
  </sheetData>
  <pageMargins left="0.7" right="0.7" top="0.75" bottom="0.75" header="0.3" footer="0.3"/>
  <pageSetup orientation="portrait"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12"/>
  <sheetViews>
    <sheetView workbookViewId="0">
      <selection activeCell="H29" sqref="H29"/>
    </sheetView>
  </sheetViews>
  <sheetFormatPr defaultRowHeight="13.2"/>
  <cols>
    <col min="1" max="1" width="12" customWidth="1"/>
    <col min="2" max="2" width="10.33203125" customWidth="1"/>
    <col min="3" max="3" width="9.44140625" customWidth="1"/>
    <col min="4" max="4" width="4.33203125" customWidth="1"/>
    <col min="5" max="5" width="11" customWidth="1"/>
    <col min="6" max="6" width="10.33203125" customWidth="1"/>
    <col min="7" max="7" width="4.88671875" customWidth="1"/>
    <col min="8" max="8" width="9.6640625" customWidth="1"/>
  </cols>
  <sheetData>
    <row r="1" spans="1:9">
      <c r="B1" s="11" t="s">
        <v>114</v>
      </c>
      <c r="C1" s="4"/>
      <c r="D1" s="4"/>
      <c r="E1" s="4" t="s">
        <v>116</v>
      </c>
      <c r="F1" s="4"/>
      <c r="G1" s="4"/>
      <c r="H1" s="4" t="s">
        <v>115</v>
      </c>
    </row>
    <row r="2" spans="1:9">
      <c r="B2" s="18"/>
      <c r="C2" s="19"/>
      <c r="D2" s="4"/>
      <c r="E2" s="19"/>
      <c r="F2" s="19"/>
      <c r="G2" s="4"/>
      <c r="H2" s="19"/>
      <c r="I2" s="20"/>
    </row>
    <row r="3" spans="1:9">
      <c r="B3" s="13">
        <v>2011</v>
      </c>
      <c r="C3" s="13">
        <v>2012</v>
      </c>
      <c r="D3" s="12"/>
      <c r="E3" s="13">
        <v>2011</v>
      </c>
      <c r="F3" s="13">
        <v>2012</v>
      </c>
      <c r="G3" s="12"/>
      <c r="H3" s="13">
        <v>2011</v>
      </c>
      <c r="I3" s="13">
        <v>2012</v>
      </c>
    </row>
    <row r="4" spans="1:9">
      <c r="A4" s="11" t="s">
        <v>111</v>
      </c>
      <c r="B4" s="14">
        <v>681264</v>
      </c>
      <c r="C4" s="14">
        <v>508315</v>
      </c>
      <c r="D4" s="15"/>
      <c r="E4" s="14">
        <v>69164</v>
      </c>
      <c r="F4" s="14">
        <v>63500</v>
      </c>
      <c r="G4" s="15"/>
      <c r="H4" s="14">
        <v>30500</v>
      </c>
      <c r="I4" s="14">
        <v>0</v>
      </c>
    </row>
    <row r="5" spans="1:9">
      <c r="A5" s="11" t="s">
        <v>112</v>
      </c>
      <c r="B5" s="14">
        <v>819790</v>
      </c>
      <c r="C5" s="14">
        <v>547675</v>
      </c>
      <c r="D5" s="15"/>
      <c r="E5" s="14">
        <v>96398</v>
      </c>
      <c r="F5" s="14">
        <v>93050</v>
      </c>
      <c r="G5" s="15"/>
      <c r="H5" s="14">
        <v>20000</v>
      </c>
      <c r="I5" s="14">
        <v>20000</v>
      </c>
    </row>
    <row r="6" spans="1:9">
      <c r="A6" s="11" t="s">
        <v>113</v>
      </c>
      <c r="B6" s="16">
        <f>SUM(B4-B5)</f>
        <v>-138526</v>
      </c>
      <c r="C6" s="16">
        <f>SUM(C4-C5)</f>
        <v>-39360</v>
      </c>
      <c r="D6" s="17"/>
      <c r="E6" s="16">
        <f>SUM(E4-E5)</f>
        <v>-27234</v>
      </c>
      <c r="F6" s="16">
        <f>SUM(F4-F5)</f>
        <v>-29550</v>
      </c>
      <c r="G6" s="17"/>
      <c r="H6" s="16">
        <f>SUM(H4-H5)</f>
        <v>10500</v>
      </c>
      <c r="I6" s="16">
        <f>SUM(I4-I5)</f>
        <v>-20000</v>
      </c>
    </row>
    <row r="10" spans="1:9">
      <c r="A10" s="21"/>
      <c r="B10" s="21"/>
    </row>
    <row r="12" spans="1:9">
      <c r="A12" s="4"/>
    </row>
  </sheetData>
  <pageMargins left="0.7" right="0.7" top="0.75" bottom="0.75" header="0.3" footer="0.3"/>
  <pageSetup orientation="portrait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D53A289893EFC4986318E93DAEB65E0" ma:contentTypeVersion="11" ma:contentTypeDescription="Create a new document." ma:contentTypeScope="" ma:versionID="25c169f551367b307377462e7e557572">
  <xsd:schema xmlns:xsd="http://www.w3.org/2001/XMLSchema" xmlns:xs="http://www.w3.org/2001/XMLSchema" xmlns:p="http://schemas.microsoft.com/office/2006/metadata/properties" xmlns:ns3="c041fd85-c24b-43c8-bbb4-b2193399eb26" targetNamespace="http://schemas.microsoft.com/office/2006/metadata/properties" ma:root="true" ma:fieldsID="7b52479502f8cbb739a8f2aabd58cfa9" ns3:_="">
    <xsd:import namespace="c041fd85-c24b-43c8-bbb4-b2193399eb2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ServiceSearchProperties" minOccurs="0"/>
                <xsd:element ref="ns3:MediaServiceOCR" minOccurs="0"/>
                <xsd:element ref="ns3:MediaServiceDateTaken" minOccurs="0"/>
                <xsd:element ref="ns3:MediaServiceLocation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041fd85-c24b-43c8-bbb4-b2193399eb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1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536FCD3-D981-4386-93A4-05C2BC53F669}">
  <ds:schemaRefs>
    <ds:schemaRef ds:uri="http://schemas.microsoft.com/office/infopath/2007/PartnerControls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purl.org/dc/terms/"/>
    <ds:schemaRef ds:uri="http://www.w3.org/XML/1998/namespace"/>
    <ds:schemaRef ds:uri="http://purl.org/dc/dcmitype/"/>
    <ds:schemaRef ds:uri="c041fd85-c24b-43c8-bbb4-b2193399eb26"/>
  </ds:schemaRefs>
</ds:datastoreItem>
</file>

<file path=customXml/itemProps2.xml><?xml version="1.0" encoding="utf-8"?>
<ds:datastoreItem xmlns:ds="http://schemas.openxmlformats.org/officeDocument/2006/customXml" ds:itemID="{C7B6E916-30C2-4E2D-B5D5-4D78D5B40B7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B318DCF-E682-4855-A03B-22A338B0A99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041fd85-c24b-43c8-bbb4-b2193399eb2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6</vt:i4>
      </vt:variant>
    </vt:vector>
  </HeadingPairs>
  <TitlesOfParts>
    <vt:vector size="16" baseType="lpstr">
      <vt:lpstr>Income Statement</vt:lpstr>
      <vt:lpstr>BS</vt:lpstr>
      <vt:lpstr>CF</vt:lpstr>
      <vt:lpstr>BS wrksht</vt:lpstr>
      <vt:lpstr>2026 EXPO P&amp;L</vt:lpstr>
      <vt:lpstr>2026 - Habitat P&amp;L</vt:lpstr>
      <vt:lpstr>Salaries</vt:lpstr>
      <vt:lpstr>Events</vt:lpstr>
      <vt:lpstr>P&amp;L Monthly Totals</vt:lpstr>
      <vt:lpstr>2011 VS 2012 by Class</vt:lpstr>
      <vt:lpstr>BS!Print_Area</vt:lpstr>
      <vt:lpstr>'BS wrksht'!Print_Area</vt:lpstr>
      <vt:lpstr>CF!Print_Area</vt:lpstr>
      <vt:lpstr>'Income Statement'!Print_Area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Kelcy Boettcher</cp:lastModifiedBy>
  <cp:lastPrinted>2015-01-23T17:20:18Z</cp:lastPrinted>
  <dcterms:created xsi:type="dcterms:W3CDTF">2009-06-10T22:28:54Z</dcterms:created>
  <dcterms:modified xsi:type="dcterms:W3CDTF">2026-02-04T21:44:10Z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0x010100FD53A289893EFC4986318E93DAEB65E0</vt:lpwstr>
  </property>
</Properties>
</file>